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митрий\Dropbox\Петанк\Результаты\2024\"/>
    </mc:Choice>
  </mc:AlternateContent>
  <bookViews>
    <workbookView xWindow="0" yWindow="0" windowWidth="24000" windowHeight="11040"/>
  </bookViews>
  <sheets>
    <sheet name="Регистрация" sheetId="13" r:id="rId1"/>
    <sheet name="A" sheetId="1" r:id="rId2"/>
    <sheet name="B" sheetId="2" r:id="rId3"/>
    <sheet name="C" sheetId="3" r:id="rId4"/>
    <sheet name="D" sheetId="4" r:id="rId5"/>
    <sheet name="E" sheetId="5" r:id="rId6"/>
    <sheet name="F" sheetId="6" r:id="rId7"/>
    <sheet name="AF" sheetId="7" r:id="rId8"/>
    <sheet name="BF" sheetId="8" r:id="rId9"/>
    <sheet name="CF" sheetId="9" r:id="rId10"/>
    <sheet name="DF" sheetId="10" r:id="rId11"/>
    <sheet name="Кубок А" sheetId="11" r:id="rId12"/>
    <sheet name="Кубок В" sheetId="12" r:id="rId1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6" l="1"/>
  <c r="H37" i="6"/>
  <c r="F12" i="2"/>
  <c r="B32" i="12"/>
  <c r="I8" i="9"/>
  <c r="K12" i="1"/>
  <c r="C23" i="3"/>
  <c r="H10" i="4"/>
  <c r="K4" i="5"/>
  <c r="C40" i="4"/>
  <c r="H18" i="3"/>
  <c r="J8" i="6"/>
  <c r="J8" i="2"/>
  <c r="G4" i="2"/>
  <c r="H42" i="5"/>
  <c r="H10" i="1"/>
  <c r="K12" i="5"/>
  <c r="I4" i="3"/>
  <c r="G10" i="9"/>
  <c r="J10" i="4"/>
  <c r="C37" i="1"/>
  <c r="C31" i="6"/>
  <c r="J14" i="5"/>
  <c r="J4" i="3"/>
  <c r="B28" i="11"/>
  <c r="H21" i="4"/>
  <c r="K5" i="5"/>
  <c r="C22" i="3"/>
  <c r="C40" i="6"/>
  <c r="H4" i="6"/>
  <c r="B20" i="12"/>
  <c r="C24" i="8"/>
  <c r="G10" i="1"/>
  <c r="H14" i="5"/>
  <c r="H4" i="3"/>
  <c r="G8" i="4"/>
  <c r="H20" i="1"/>
  <c r="H40" i="5"/>
  <c r="H10" i="8"/>
  <c r="C21" i="4"/>
  <c r="C35" i="3"/>
  <c r="B4" i="11"/>
  <c r="H26" i="1"/>
  <c r="C37" i="6"/>
  <c r="I8" i="3"/>
  <c r="C36" i="1"/>
  <c r="C41" i="5"/>
  <c r="C22" i="6"/>
  <c r="J6" i="2"/>
  <c r="H35" i="4"/>
  <c r="K8" i="6"/>
  <c r="C20" i="7"/>
  <c r="C25" i="8"/>
  <c r="C16" i="10"/>
  <c r="F8" i="6"/>
  <c r="F6" i="6"/>
  <c r="F10" i="2"/>
  <c r="K4" i="4"/>
  <c r="F6" i="4"/>
  <c r="G4" i="5"/>
  <c r="B28" i="12"/>
  <c r="G4" i="8"/>
  <c r="C36" i="4"/>
  <c r="F12" i="5"/>
  <c r="C36" i="5"/>
  <c r="H27" i="3"/>
  <c r="J4" i="2"/>
  <c r="C23" i="2"/>
  <c r="F10" i="4"/>
  <c r="F6" i="10"/>
  <c r="H6" i="7"/>
  <c r="B12" i="11"/>
  <c r="H20" i="4"/>
  <c r="H10" i="9"/>
  <c r="C42" i="5"/>
  <c r="I9" i="9"/>
  <c r="K6" i="6"/>
  <c r="H12" i="4"/>
  <c r="G8" i="5"/>
  <c r="I6" i="9"/>
  <c r="J8" i="1"/>
  <c r="H31" i="3"/>
  <c r="C20" i="9"/>
  <c r="H30" i="2"/>
  <c r="G12" i="6"/>
  <c r="H6" i="1"/>
  <c r="H24" i="8"/>
  <c r="H22" i="3"/>
  <c r="B4" i="12"/>
  <c r="C22" i="2"/>
  <c r="B8" i="12"/>
  <c r="F8" i="10"/>
  <c r="G5" i="5"/>
  <c r="H37" i="5"/>
  <c r="H19" i="2"/>
  <c r="B16" i="12"/>
  <c r="H37" i="4"/>
  <c r="H4" i="8"/>
  <c r="I4" i="10"/>
  <c r="I14" i="4"/>
  <c r="C22" i="5"/>
  <c r="C17" i="8"/>
  <c r="G9" i="5"/>
  <c r="H17" i="8"/>
  <c r="H42" i="6"/>
  <c r="C20" i="4"/>
  <c r="H25" i="9"/>
  <c r="H21" i="6"/>
  <c r="H10" i="7"/>
  <c r="K13" i="5"/>
  <c r="H22" i="6"/>
  <c r="H24" i="10"/>
  <c r="K4" i="6"/>
  <c r="J4" i="4"/>
  <c r="G4" i="10"/>
  <c r="G12" i="3"/>
  <c r="G8" i="10"/>
  <c r="C32" i="6"/>
  <c r="B24" i="11"/>
  <c r="F6" i="8"/>
  <c r="K8" i="4"/>
  <c r="H31" i="4"/>
  <c r="J4" i="6"/>
  <c r="C31" i="2"/>
  <c r="H41" i="4"/>
  <c r="G14" i="5"/>
  <c r="F6" i="7"/>
  <c r="F7" i="7" s="1"/>
  <c r="H23" i="3"/>
  <c r="G4" i="6"/>
  <c r="H12" i="3"/>
  <c r="H13" i="3" s="1"/>
  <c r="F8" i="8"/>
  <c r="H4" i="10"/>
  <c r="C32" i="1"/>
  <c r="H25" i="6"/>
  <c r="C17" i="10"/>
  <c r="F8" i="1"/>
  <c r="H25" i="5"/>
  <c r="J10" i="6"/>
  <c r="K12" i="4"/>
  <c r="K6" i="1"/>
  <c r="H41" i="5"/>
  <c r="H36" i="5"/>
  <c r="H10" i="5"/>
  <c r="H31" i="6"/>
  <c r="C19" i="2"/>
  <c r="I6" i="10"/>
  <c r="H20" i="5"/>
  <c r="J8" i="5"/>
  <c r="H25" i="1"/>
  <c r="H21" i="1"/>
  <c r="H20" i="7"/>
  <c r="C25" i="6"/>
  <c r="F10" i="1"/>
  <c r="F6" i="5"/>
  <c r="K6" i="4"/>
  <c r="F14" i="5"/>
  <c r="F9" i="6"/>
  <c r="J4" i="1"/>
  <c r="J5" i="1" s="1"/>
  <c r="F8" i="5"/>
  <c r="I6" i="7"/>
  <c r="B24" i="12"/>
  <c r="G11" i="9"/>
  <c r="G10" i="2"/>
  <c r="J14" i="4"/>
  <c r="H22" i="4"/>
  <c r="H40" i="1"/>
  <c r="H10" i="2"/>
  <c r="I12" i="1"/>
  <c r="F12" i="6"/>
  <c r="F12" i="1"/>
  <c r="H5" i="10"/>
  <c r="C27" i="6"/>
  <c r="H26" i="6"/>
  <c r="H30" i="5"/>
  <c r="G8" i="9"/>
  <c r="C31" i="5"/>
  <c r="C35" i="2"/>
  <c r="H24" i="9"/>
  <c r="B16" i="11"/>
  <c r="C21" i="10"/>
  <c r="I4" i="2"/>
  <c r="C31" i="1"/>
  <c r="C22" i="1"/>
  <c r="H20" i="10"/>
  <c r="H26" i="3"/>
  <c r="C19" i="3"/>
  <c r="H11" i="4"/>
  <c r="H22" i="2"/>
  <c r="H32" i="4"/>
  <c r="C31" i="4"/>
  <c r="C40" i="5"/>
  <c r="C26" i="1"/>
  <c r="C42" i="4"/>
  <c r="H16" i="8"/>
  <c r="F11" i="2"/>
  <c r="I6" i="8"/>
  <c r="H31" i="2"/>
  <c r="J10" i="3"/>
  <c r="C17" i="9"/>
  <c r="H16" i="10"/>
  <c r="G8" i="3"/>
  <c r="B32" i="11"/>
  <c r="J5" i="2"/>
  <c r="G10" i="10"/>
  <c r="J10" i="1"/>
  <c r="I8" i="2"/>
  <c r="C25" i="10"/>
  <c r="H14" i="6"/>
  <c r="G4" i="1"/>
  <c r="H35" i="3"/>
  <c r="G12" i="1"/>
  <c r="C16" i="9"/>
  <c r="H32" i="6"/>
  <c r="F7" i="6"/>
  <c r="H17" i="7"/>
  <c r="H31" i="5"/>
  <c r="J10" i="5"/>
  <c r="H4" i="4"/>
  <c r="C26" i="3"/>
  <c r="F14" i="4"/>
  <c r="C30" i="2"/>
  <c r="F9" i="1"/>
  <c r="I12" i="5"/>
  <c r="I12" i="4"/>
  <c r="I4" i="9"/>
  <c r="H41" i="6"/>
  <c r="G8" i="1"/>
  <c r="F14" i="6"/>
  <c r="H6" i="2"/>
  <c r="B12" i="12"/>
  <c r="H12" i="1"/>
  <c r="K4" i="1"/>
  <c r="H35" i="5"/>
  <c r="J5" i="6"/>
  <c r="C21" i="9"/>
  <c r="I6" i="4"/>
  <c r="H4" i="1"/>
  <c r="F6" i="3"/>
  <c r="H27" i="1"/>
  <c r="G12" i="2"/>
  <c r="F10" i="7"/>
  <c r="C17" i="7"/>
  <c r="C35" i="5"/>
  <c r="J6" i="6"/>
  <c r="I8" i="10"/>
  <c r="C24" i="7"/>
  <c r="F6" i="9"/>
  <c r="H37" i="1"/>
  <c r="C41" i="1"/>
  <c r="C41" i="4"/>
  <c r="C37" i="5"/>
  <c r="C35" i="6"/>
  <c r="H4" i="9"/>
  <c r="F9" i="8"/>
  <c r="H40" i="6"/>
  <c r="K6" i="5"/>
  <c r="C30" i="6"/>
  <c r="H21" i="8"/>
  <c r="C25" i="7"/>
  <c r="F10" i="3"/>
  <c r="F8" i="9"/>
  <c r="C25" i="1"/>
  <c r="H27" i="6"/>
  <c r="H42" i="4"/>
  <c r="C30" i="4"/>
  <c r="C40" i="1"/>
  <c r="H27" i="5"/>
  <c r="H14" i="4"/>
  <c r="H4" i="7"/>
  <c r="C18" i="2"/>
  <c r="I4" i="1"/>
  <c r="I8" i="8"/>
  <c r="F10" i="6"/>
  <c r="I8" i="5"/>
  <c r="F10" i="10"/>
  <c r="F10" i="8"/>
  <c r="F11" i="8" s="1"/>
  <c r="K8" i="1"/>
  <c r="I8" i="6"/>
  <c r="F8" i="2"/>
  <c r="G4" i="7"/>
  <c r="I14" i="5"/>
  <c r="H6" i="4"/>
  <c r="H21" i="10"/>
  <c r="H23" i="2"/>
  <c r="G10" i="8"/>
  <c r="C32" i="4"/>
  <c r="H17" i="9"/>
  <c r="I6" i="2"/>
  <c r="I7" i="2" s="1"/>
  <c r="I14" i="1"/>
  <c r="H4" i="2"/>
  <c r="I8" i="1"/>
  <c r="I9" i="1" s="1"/>
  <c r="H36" i="6"/>
  <c r="K13" i="4"/>
  <c r="C35" i="4"/>
  <c r="K10" i="1"/>
  <c r="H21" i="5"/>
  <c r="I6" i="6"/>
  <c r="H25" i="4"/>
  <c r="H12" i="5"/>
  <c r="C26" i="6"/>
  <c r="C21" i="6"/>
  <c r="F13" i="2"/>
  <c r="J8" i="4"/>
  <c r="G4" i="9"/>
  <c r="G5" i="9" s="1"/>
  <c r="B8" i="11"/>
  <c r="C18" i="3"/>
  <c r="H12" i="2"/>
  <c r="C24" i="9"/>
  <c r="G4" i="4"/>
  <c r="H17" i="10"/>
  <c r="H34" i="3"/>
  <c r="I4" i="6"/>
  <c r="G12" i="5"/>
  <c r="I4" i="8"/>
  <c r="C25" i="4"/>
  <c r="C20" i="6"/>
  <c r="F8" i="7"/>
  <c r="H6" i="9"/>
  <c r="J4" i="5"/>
  <c r="I4" i="5"/>
  <c r="H20" i="8"/>
  <c r="G14" i="1"/>
  <c r="C16" i="8"/>
  <c r="H6" i="8"/>
  <c r="F7" i="5"/>
  <c r="C34" i="2"/>
  <c r="I6" i="5"/>
  <c r="H27" i="2"/>
  <c r="H19" i="3"/>
  <c r="I14" i="6"/>
  <c r="G10" i="5"/>
  <c r="C37" i="4"/>
  <c r="H18" i="2"/>
  <c r="B20" i="11"/>
  <c r="J14" i="6"/>
  <c r="F12" i="3"/>
  <c r="H32" i="1"/>
  <c r="K10" i="6"/>
  <c r="I6" i="3"/>
  <c r="I8" i="7"/>
  <c r="H14" i="1"/>
  <c r="I12" i="3"/>
  <c r="H35" i="6"/>
  <c r="H40" i="4"/>
  <c r="C42" i="1"/>
  <c r="H10" i="3"/>
  <c r="H15" i="1"/>
  <c r="G13" i="6"/>
  <c r="C27" i="2"/>
  <c r="H20" i="9"/>
  <c r="F6" i="2"/>
  <c r="G8" i="8"/>
  <c r="H6" i="6"/>
  <c r="F14" i="1"/>
  <c r="C24" i="10"/>
  <c r="C31" i="3"/>
  <c r="I6" i="1"/>
  <c r="H36" i="1"/>
  <c r="F10" i="9"/>
  <c r="G8" i="2"/>
  <c r="G5" i="8"/>
  <c r="C26" i="2"/>
  <c r="F11" i="1"/>
  <c r="C25" i="5"/>
  <c r="C30" i="5"/>
  <c r="F7" i="2"/>
  <c r="H26" i="5"/>
  <c r="G8" i="6"/>
  <c r="H21" i="9"/>
  <c r="C27" i="5"/>
  <c r="G8" i="7"/>
  <c r="H26" i="4"/>
  <c r="C27" i="1"/>
  <c r="C30" i="3"/>
  <c r="H11" i="9"/>
  <c r="H26" i="2"/>
  <c r="F15" i="4"/>
  <c r="G5" i="4"/>
  <c r="H22" i="1"/>
  <c r="I12" i="2"/>
  <c r="J6" i="1"/>
  <c r="I4" i="4"/>
  <c r="F12" i="4"/>
  <c r="H6" i="10"/>
  <c r="H12" i="6"/>
  <c r="J10" i="2"/>
  <c r="G4" i="3"/>
  <c r="J6" i="4"/>
  <c r="C27" i="4"/>
  <c r="C20" i="5"/>
  <c r="C30" i="1"/>
  <c r="H10" i="10"/>
  <c r="C20" i="1"/>
  <c r="H7" i="7"/>
  <c r="H30" i="6"/>
  <c r="J6" i="5"/>
  <c r="H27" i="4"/>
  <c r="I5" i="6"/>
  <c r="C21" i="8"/>
  <c r="K13" i="1"/>
  <c r="H30" i="1"/>
  <c r="G10" i="3"/>
  <c r="C22" i="4"/>
  <c r="F11" i="10"/>
  <c r="C16" i="7"/>
  <c r="H6" i="5"/>
  <c r="K5" i="4"/>
  <c r="H22" i="5"/>
  <c r="H30" i="3"/>
  <c r="K8" i="5"/>
  <c r="F7" i="8"/>
  <c r="C21" i="1"/>
  <c r="H16" i="7"/>
  <c r="G14" i="4"/>
  <c r="G10" i="6"/>
  <c r="J6" i="3"/>
  <c r="H31" i="1"/>
  <c r="I12" i="6"/>
  <c r="F6" i="1"/>
  <c r="H6" i="3"/>
  <c r="C41" i="6"/>
  <c r="I9" i="5"/>
  <c r="K12" i="6"/>
  <c r="F10" i="5"/>
  <c r="G12" i="4"/>
  <c r="H20" i="6"/>
  <c r="H30" i="4"/>
  <c r="H32" i="5"/>
  <c r="J8" i="3"/>
  <c r="H41" i="1"/>
  <c r="H15" i="6"/>
  <c r="J7" i="2"/>
  <c r="F11" i="6"/>
  <c r="F7" i="1"/>
  <c r="J9" i="4"/>
  <c r="I9" i="6"/>
  <c r="I7" i="3"/>
  <c r="F9" i="2"/>
  <c r="K9" i="1"/>
  <c r="G11" i="2"/>
  <c r="H5" i="2"/>
  <c r="F15" i="6"/>
  <c r="H16" i="9"/>
  <c r="F7" i="4"/>
  <c r="H7" i="2"/>
  <c r="H25" i="10"/>
  <c r="J9" i="6"/>
  <c r="G13" i="4"/>
  <c r="G15" i="4"/>
  <c r="I5" i="2"/>
  <c r="G5" i="6"/>
  <c r="G9" i="10"/>
  <c r="G13" i="3"/>
  <c r="F9" i="5"/>
  <c r="F15" i="1"/>
  <c r="H7" i="4"/>
  <c r="H5" i="3"/>
  <c r="G9" i="4"/>
  <c r="H21" i="7"/>
  <c r="J11" i="4"/>
  <c r="F15" i="5"/>
  <c r="H13" i="2"/>
  <c r="J9" i="5"/>
  <c r="H11" i="1"/>
  <c r="F11" i="4"/>
  <c r="F8" i="3"/>
  <c r="G5" i="3"/>
  <c r="K10" i="4"/>
  <c r="J14" i="1"/>
  <c r="H36" i="4"/>
  <c r="H10" i="6"/>
  <c r="H11" i="6" s="1"/>
  <c r="G10" i="7"/>
  <c r="K10" i="5"/>
  <c r="J7" i="4"/>
  <c r="C42" i="6"/>
  <c r="C26" i="5"/>
  <c r="C36" i="6"/>
  <c r="H35" i="1"/>
  <c r="C34" i="3"/>
  <c r="H25" i="7"/>
  <c r="I4" i="7"/>
  <c r="C26" i="4"/>
  <c r="C32" i="5"/>
  <c r="H35" i="2"/>
  <c r="H42" i="1"/>
  <c r="H24" i="7"/>
  <c r="I8" i="4"/>
  <c r="H34" i="2"/>
  <c r="H4" i="5"/>
  <c r="G10" i="4"/>
  <c r="C27" i="3"/>
  <c r="G15" i="6"/>
  <c r="F8" i="4"/>
  <c r="C35" i="1"/>
  <c r="C25" i="9"/>
  <c r="C20" i="10"/>
  <c r="G9" i="6"/>
  <c r="I7" i="7"/>
  <c r="I5" i="1"/>
  <c r="I7" i="9"/>
  <c r="J15" i="4"/>
  <c r="I9" i="8"/>
  <c r="F13" i="6"/>
  <c r="I15" i="6"/>
  <c r="J5" i="4"/>
  <c r="J11" i="5"/>
  <c r="G5" i="2"/>
  <c r="H11" i="3"/>
  <c r="G5" i="10"/>
  <c r="J11" i="1"/>
  <c r="G15" i="1"/>
  <c r="K13" i="6"/>
  <c r="I7" i="1"/>
  <c r="I5" i="5"/>
  <c r="H25" i="8"/>
  <c r="J7" i="6"/>
  <c r="I5" i="3"/>
  <c r="H11" i="5"/>
  <c r="G13" i="1"/>
  <c r="G11" i="6"/>
  <c r="J5" i="3"/>
  <c r="G15" i="5"/>
  <c r="H7" i="5"/>
  <c r="C20" i="8"/>
  <c r="K7" i="6"/>
  <c r="F11" i="3"/>
  <c r="C21" i="5"/>
  <c r="C21" i="7"/>
  <c r="J9" i="1"/>
  <c r="I13" i="4"/>
  <c r="K5" i="6"/>
  <c r="J9" i="3"/>
  <c r="H5" i="7"/>
  <c r="K11" i="4"/>
  <c r="I13" i="3"/>
  <c r="F9" i="10"/>
  <c r="H11" i="2"/>
  <c r="H11" i="8"/>
  <c r="J15" i="5"/>
  <c r="H7" i="1"/>
  <c r="I9" i="4"/>
  <c r="J15" i="1"/>
  <c r="F9" i="3"/>
  <c r="I7" i="8"/>
  <c r="H11" i="7"/>
  <c r="H5" i="8"/>
  <c r="I13" i="1"/>
  <c r="I7" i="10"/>
  <c r="H5" i="6"/>
  <c r="G11" i="4"/>
  <c r="G11" i="3"/>
  <c r="H11" i="10"/>
  <c r="F11" i="9"/>
  <c r="K9" i="4"/>
  <c r="H7" i="8"/>
  <c r="H13" i="4"/>
  <c r="I9" i="3"/>
  <c r="J11" i="6"/>
  <c r="F11" i="5"/>
  <c r="I9" i="10"/>
  <c r="H5" i="4"/>
  <c r="J5" i="5"/>
  <c r="K11" i="1"/>
  <c r="G11" i="8"/>
  <c r="H5" i="5"/>
  <c r="K7" i="5"/>
  <c r="J11" i="3"/>
  <c r="I5" i="10"/>
  <c r="H7" i="9"/>
  <c r="I7" i="6"/>
  <c r="I15" i="1"/>
  <c r="I15" i="4"/>
  <c r="F9" i="4"/>
  <c r="K9" i="5"/>
  <c r="H5" i="9"/>
  <c r="I5" i="9"/>
  <c r="I9" i="7"/>
  <c r="G9" i="9"/>
  <c r="F13" i="1"/>
  <c r="G13" i="5"/>
  <c r="H15" i="5"/>
  <c r="I15" i="5"/>
  <c r="H15" i="4"/>
  <c r="F7" i="9"/>
  <c r="I13" i="5"/>
  <c r="F13" i="3"/>
  <c r="I7" i="5"/>
  <c r="F9" i="7"/>
  <c r="H13" i="5"/>
  <c r="K7" i="1"/>
  <c r="G5" i="7"/>
  <c r="K11" i="5"/>
  <c r="G13" i="2"/>
  <c r="J15" i="6"/>
  <c r="K9" i="6"/>
  <c r="G11" i="1"/>
  <c r="J9" i="2"/>
  <c r="L13" i="3" l="1"/>
  <c r="K12" i="3"/>
  <c r="J6" i="9"/>
  <c r="K7" i="9"/>
  <c r="M9" i="4"/>
  <c r="L8" i="4"/>
  <c r="J10" i="9"/>
  <c r="K11" i="9"/>
  <c r="K9" i="10"/>
  <c r="J8" i="10"/>
  <c r="L11" i="3"/>
  <c r="K10" i="3"/>
  <c r="J4" i="10"/>
  <c r="K5" i="10"/>
  <c r="K4" i="2"/>
  <c r="L5" i="2"/>
  <c r="L5" i="3"/>
  <c r="K4" i="3"/>
  <c r="M11" i="4"/>
  <c r="L10" i="4"/>
  <c r="L14" i="5"/>
  <c r="M15" i="5"/>
  <c r="M15" i="1"/>
  <c r="L14" i="1"/>
  <c r="L8" i="5"/>
  <c r="M9" i="5"/>
  <c r="L4" i="6"/>
  <c r="M5" i="6"/>
  <c r="L14" i="6"/>
  <c r="M15" i="6"/>
  <c r="K7" i="8"/>
  <c r="J6" i="8"/>
  <c r="M15" i="4"/>
  <c r="L14" i="4"/>
  <c r="L7" i="2"/>
  <c r="K6" i="2"/>
  <c r="M11" i="1"/>
  <c r="L10" i="1"/>
  <c r="F22" i="11"/>
  <c r="J26" i="11" s="1"/>
  <c r="F6" i="11"/>
  <c r="B36" i="11" s="1"/>
  <c r="F38" i="11" s="1"/>
  <c r="K5" i="9"/>
  <c r="J4" i="9"/>
  <c r="K11" i="8"/>
  <c r="J10" i="8"/>
  <c r="F14" i="12"/>
  <c r="J10" i="12" s="1"/>
  <c r="N18" i="12" s="1"/>
  <c r="F30" i="11"/>
  <c r="B40" i="11" s="1"/>
  <c r="F14" i="11"/>
  <c r="J10" i="11" s="1"/>
  <c r="N18" i="11" s="1"/>
  <c r="F22" i="12"/>
  <c r="J26" i="12" s="1"/>
  <c r="L8" i="6"/>
  <c r="M9" i="6"/>
  <c r="K7" i="7"/>
  <c r="J6" i="7"/>
  <c r="L4" i="5"/>
  <c r="M5" i="5"/>
  <c r="F6" i="12"/>
  <c r="B36" i="12" s="1"/>
  <c r="F38" i="12" s="1"/>
  <c r="F30" i="12"/>
  <c r="B40" i="12" s="1"/>
  <c r="I5" i="7"/>
  <c r="H7" i="3"/>
  <c r="J7" i="3"/>
  <c r="J11" i="2"/>
  <c r="H7" i="10"/>
  <c r="I5" i="4"/>
  <c r="I13" i="2"/>
  <c r="G9" i="2"/>
  <c r="G9" i="8"/>
  <c r="I5" i="8"/>
  <c r="F9" i="9"/>
  <c r="F7" i="3"/>
  <c r="I7" i="4"/>
  <c r="H13" i="1"/>
  <c r="G9" i="1"/>
  <c r="I9" i="2"/>
  <c r="K7" i="4"/>
  <c r="F7" i="10"/>
  <c r="G11" i="7"/>
  <c r="I13" i="6"/>
  <c r="J7" i="5"/>
  <c r="H13" i="6"/>
  <c r="F13" i="4"/>
  <c r="J7" i="1"/>
  <c r="G9" i="7"/>
  <c r="H7" i="6"/>
  <c r="K11" i="6"/>
  <c r="G11" i="5"/>
  <c r="F11" i="7"/>
  <c r="H5" i="1"/>
  <c r="K5" i="1"/>
  <c r="G5" i="1"/>
  <c r="G11" i="10"/>
  <c r="G9" i="3"/>
  <c r="F13" i="5"/>
  <c r="L12" i="5" l="1"/>
  <c r="M13" i="5"/>
  <c r="L9" i="3"/>
  <c r="K8" i="3"/>
  <c r="J10" i="10"/>
  <c r="K11" i="10"/>
  <c r="M5" i="1"/>
  <c r="L4" i="1"/>
  <c r="K11" i="7"/>
  <c r="J10" i="7"/>
  <c r="L10" i="5"/>
  <c r="M11" i="5"/>
  <c r="M11" i="6"/>
  <c r="L10" i="6"/>
  <c r="L6" i="6"/>
  <c r="M7" i="6"/>
  <c r="K9" i="7"/>
  <c r="J8" i="7"/>
  <c r="L6" i="1"/>
  <c r="M7" i="1"/>
  <c r="L12" i="4"/>
  <c r="M13" i="4"/>
  <c r="M13" i="6"/>
  <c r="L12" i="6"/>
  <c r="M7" i="5"/>
  <c r="L6" i="5"/>
  <c r="K7" i="10"/>
  <c r="J6" i="10"/>
  <c r="L8" i="1"/>
  <c r="M9" i="1"/>
  <c r="L12" i="1"/>
  <c r="M13" i="1"/>
  <c r="L6" i="4"/>
  <c r="M7" i="4"/>
  <c r="L7" i="3"/>
  <c r="K6" i="3"/>
  <c r="K9" i="9"/>
  <c r="J8" i="9"/>
  <c r="K5" i="8"/>
  <c r="J4" i="8"/>
  <c r="J8" i="8"/>
  <c r="K9" i="8"/>
  <c r="L9" i="2"/>
  <c r="K8" i="2"/>
  <c r="K12" i="2"/>
  <c r="L13" i="2"/>
  <c r="M5" i="4"/>
  <c r="L4" i="4"/>
  <c r="K10" i="2"/>
  <c r="L11" i="2"/>
  <c r="K5" i="7"/>
  <c r="J4" i="7"/>
</calcChain>
</file>

<file path=xl/sharedStrings.xml><?xml version="1.0" encoding="utf-8"?>
<sst xmlns="http://schemas.openxmlformats.org/spreadsheetml/2006/main" count="466" uniqueCount="141">
  <si>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</si>
  <si>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</si>
  <si>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</si>
  <si>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</si>
  <si>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</si>
  <si>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</si>
  <si>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</si>
  <si>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</si>
  <si>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</si>
  <si>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</si>
  <si>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</si>
  <si>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t>Группа А</t>
  </si>
  <si>
    <t>Группа С</t>
  </si>
  <si>
    <t>Группа D</t>
  </si>
  <si>
    <t>Группа Е</t>
  </si>
  <si>
    <t>Группа F</t>
  </si>
  <si>
    <t>Финальная группа А</t>
  </si>
  <si>
    <t>Финальная группа В</t>
  </si>
  <si>
    <t>Финальная группа С</t>
  </si>
  <si>
    <t>Финальная группа D</t>
  </si>
  <si>
    <t>Кубок А микст 2024</t>
  </si>
  <si>
    <t>Кубок В</t>
  </si>
  <si>
    <t>3 и 4</t>
  </si>
  <si>
    <t>1 и 2</t>
  </si>
  <si>
    <t>AF</t>
  </si>
  <si>
    <t>BF</t>
  </si>
  <si>
    <t>CF</t>
  </si>
  <si>
    <t>DF</t>
  </si>
  <si>
    <t>Группа B</t>
  </si>
  <si>
    <t>Зубова, Африканов</t>
  </si>
  <si>
    <t>Артюхина, Гулинин</t>
  </si>
  <si>
    <t>Лукьянова, Тихонов</t>
  </si>
  <si>
    <t>Зимины</t>
  </si>
  <si>
    <t>Воробьева, Бейгер</t>
  </si>
  <si>
    <t>Тихомирова, Глуховский</t>
  </si>
  <si>
    <t>Петрушко</t>
  </si>
  <si>
    <t>Коппа, Буштрук</t>
  </si>
  <si>
    <t>Кирменская, Вахрушев</t>
  </si>
  <si>
    <t>Коргунова, Энжольрас</t>
  </si>
  <si>
    <t>Головко, Земцов</t>
  </si>
  <si>
    <t>Дубовицкие</t>
  </si>
  <si>
    <t>Кузнецова, Петраков</t>
  </si>
  <si>
    <t>Павлова, Базарев</t>
  </si>
  <si>
    <t>Смирнова, Ницинский</t>
  </si>
  <si>
    <t>Березнеговская, Кувакин</t>
  </si>
  <si>
    <t>9 и 10</t>
  </si>
  <si>
    <t>Хафизова, Мишин</t>
  </si>
  <si>
    <t>Мурашова, Жака</t>
  </si>
  <si>
    <t>Мирошниченко, Гоцфрид</t>
  </si>
  <si>
    <t>Луговская, Ариетта</t>
  </si>
  <si>
    <t>Кайтукова, Шапкин</t>
  </si>
  <si>
    <t>Рукавцева, Панов</t>
  </si>
  <si>
    <t>Баринова, Банщиков</t>
  </si>
  <si>
    <t>Чекмарева, Давыдов</t>
  </si>
  <si>
    <t>Волчек, Хафидо</t>
  </si>
  <si>
    <t>Тюрина, Кравцов</t>
  </si>
  <si>
    <t>Соколова, Каргашин</t>
  </si>
  <si>
    <t>Трушины</t>
  </si>
  <si>
    <t>Савченко, Денисов</t>
  </si>
  <si>
    <t>Крошиловы</t>
  </si>
  <si>
    <t>Поляковы</t>
  </si>
  <si>
    <t>Крылова, Поляков</t>
  </si>
  <si>
    <t>Алова, Шишов</t>
  </si>
  <si>
    <t>Волкова, Папоян</t>
  </si>
  <si>
    <t>отказ</t>
  </si>
  <si>
    <t>Базарев, Павлова</t>
  </si>
  <si>
    <t>№пп</t>
  </si>
  <si>
    <t>Игрок жен</t>
  </si>
  <si>
    <t>Рейтинг</t>
  </si>
  <si>
    <t>Игрок муж</t>
  </si>
  <si>
    <t>Рейт дуп</t>
  </si>
  <si>
    <t>Утренний поток</t>
  </si>
  <si>
    <t>Артюхина Елена</t>
  </si>
  <si>
    <t>Гулинин Евгений</t>
  </si>
  <si>
    <t>Лукьянова Ирина</t>
  </si>
  <si>
    <t>Тихонов Дмитрий</t>
  </si>
  <si>
    <t>Петрушко Юля</t>
  </si>
  <si>
    <t>Петрушко Алексей</t>
  </si>
  <si>
    <t>Зубова Наталья</t>
  </si>
  <si>
    <t>Африканов Андрей</t>
  </si>
  <si>
    <t>Кирменская Елена</t>
  </si>
  <si>
    <t>Вахрушев Владимир</t>
  </si>
  <si>
    <t>Дубовицкая Ольга</t>
  </si>
  <si>
    <t>Дубовицкий Игорь</t>
  </si>
  <si>
    <t>Павлова Ирина</t>
  </si>
  <si>
    <t>Базарев Дмитрий</t>
  </si>
  <si>
    <t>Березнеговская Света</t>
  </si>
  <si>
    <t>Кувакин Валерий</t>
  </si>
  <si>
    <t>Воробьева Лиза</t>
  </si>
  <si>
    <t>Бейгер Максим</t>
  </si>
  <si>
    <t>Коппа Нина</t>
  </si>
  <si>
    <t>Буштрук Алексей</t>
  </si>
  <si>
    <t>Головко Татьяна</t>
  </si>
  <si>
    <t>Земцов Сергей</t>
  </si>
  <si>
    <t>Зимина Светлана</t>
  </si>
  <si>
    <t>Зимин Михаил</t>
  </si>
  <si>
    <t>Коргунова Мария</t>
  </si>
  <si>
    <t>Энжольрас Жером</t>
  </si>
  <si>
    <t>Смирнова Ирина</t>
  </si>
  <si>
    <t>Ницинский Станислав</t>
  </si>
  <si>
    <t>Кузнецова Елена</t>
  </si>
  <si>
    <t>Петраков Игорь</t>
  </si>
  <si>
    <t>Тихомирова Елена</t>
  </si>
  <si>
    <t>Глуховский Аркадий</t>
  </si>
  <si>
    <t>Вечерний поток</t>
  </si>
  <si>
    <t>Крошилова Ирина</t>
  </si>
  <si>
    <t>Крошилов Александр</t>
  </si>
  <si>
    <t>Мурашова Елена</t>
  </si>
  <si>
    <t>Андриамахаринжака</t>
  </si>
  <si>
    <t>Хафизова Индира</t>
  </si>
  <si>
    <t>Мишин Дмитрий</t>
  </si>
  <si>
    <t>Мирошниченко Вера</t>
  </si>
  <si>
    <t>Гоцфрид Константин</t>
  </si>
  <si>
    <t>Чекмарева Татьяна</t>
  </si>
  <si>
    <t>Давыдов Андрей</t>
  </si>
  <si>
    <t>Полякова Оксана</t>
  </si>
  <si>
    <t>Поляков Алексей</t>
  </si>
  <si>
    <t>Баринова Светлана</t>
  </si>
  <si>
    <t>Банщиков Андрей</t>
  </si>
  <si>
    <t>Савченко Елена</t>
  </si>
  <si>
    <t>Денисов Евгений</t>
  </si>
  <si>
    <t>Волчек Мария</t>
  </si>
  <si>
    <t>Лухиши Хафидо</t>
  </si>
  <si>
    <t>Тюрина Елена</t>
  </si>
  <si>
    <t>Кравцов Владимир</t>
  </si>
  <si>
    <t>Крылова Светлана</t>
  </si>
  <si>
    <t>Поляков Александр</t>
  </si>
  <si>
    <t>Кайтукова Фатима</t>
  </si>
  <si>
    <t>Шапкин Константин</t>
  </si>
  <si>
    <t>Трушина Надежда</t>
  </si>
  <si>
    <t>Трушин Егор</t>
  </si>
  <si>
    <t>Соколова Ольга</t>
  </si>
  <si>
    <t>Каргашин Илья</t>
  </si>
  <si>
    <t>Луговская В</t>
  </si>
  <si>
    <t>Арриета ХК</t>
  </si>
  <si>
    <t>Рукавцева Надежда</t>
  </si>
  <si>
    <t>Панов Павел</t>
  </si>
  <si>
    <t>Алова Людмила</t>
  </si>
  <si>
    <t>Шишов Олег</t>
  </si>
  <si>
    <t>Волкова Инна</t>
  </si>
  <si>
    <t>Папоян Григорий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</si>
</sst>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##;\-##;0"/>
    <numFmt numFmtId="165" formatCode="\+##;\-##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indexed="8"/>
      <name val="Calibri Light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0" tint="-0.14999847407452621"/>
      <name val="Calibri"/>
      <family val="2"/>
      <charset val="204"/>
      <scheme val="minor"/>
    </font>
    <font>
      <b/>
      <sz val="36"/>
      <color indexed="8"/>
      <name val="Calibri Light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5" fontId="4" fillId="2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5" fontId="4" fillId="2" borderId="21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5" fontId="4" fillId="2" borderId="3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 wrapText="1" indent="1"/>
    </xf>
    <xf numFmtId="0" fontId="3" fillId="3" borderId="18" xfId="0" applyFont="1" applyFill="1" applyBorder="1" applyAlignment="1">
      <alignment horizontal="left" vertical="center" wrapText="1" indent="1"/>
    </xf>
    <xf numFmtId="0" fontId="3" fillId="3" borderId="19" xfId="0" applyFont="1" applyFill="1" applyBorder="1" applyAlignment="1">
      <alignment horizontal="left" vertical="center" wrapText="1" indent="1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 indent="1"/>
    </xf>
    <xf numFmtId="0" fontId="3" fillId="3" borderId="10" xfId="0" applyFont="1" applyFill="1" applyBorder="1" applyAlignment="1">
      <alignment horizontal="left" vertical="center" wrapText="1" indent="1"/>
    </xf>
    <xf numFmtId="0" fontId="3" fillId="3" borderId="11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3" borderId="27" xfId="0" applyFont="1" applyFill="1" applyBorder="1" applyAlignment="1">
      <alignment horizontal="left" vertical="center" wrapText="1" indent="1"/>
    </xf>
    <xf numFmtId="0" fontId="3" fillId="3" borderId="28" xfId="0" applyFont="1" applyFill="1" applyBorder="1" applyAlignment="1">
      <alignment horizontal="left" vertical="center" wrapText="1" indent="1"/>
    </xf>
    <xf numFmtId="0" fontId="3" fillId="3" borderId="29" xfId="0" applyFont="1" applyFill="1" applyBorder="1" applyAlignment="1">
      <alignment horizontal="left" vertical="center" wrapText="1" indent="1"/>
    </xf>
    <xf numFmtId="0" fontId="8" fillId="0" borderId="42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/>
    <xf numFmtId="0" fontId="10" fillId="0" borderId="0" xfId="0" applyFont="1"/>
    <xf numFmtId="0" fontId="11" fillId="0" borderId="21" xfId="0" applyFont="1" applyBorder="1" applyAlignment="1">
      <alignment horizontal="center"/>
    </xf>
    <xf numFmtId="0" fontId="11" fillId="0" borderId="21" xfId="0" applyFont="1" applyBorder="1"/>
    <xf numFmtId="0" fontId="11" fillId="0" borderId="0" xfId="0" applyFont="1"/>
    <xf numFmtId="0" fontId="10" fillId="4" borderId="21" xfId="0" applyFont="1" applyFill="1" applyBorder="1"/>
    <xf numFmtId="0" fontId="10" fillId="0" borderId="31" xfId="0" applyFont="1" applyBorder="1" applyAlignment="1">
      <alignment horizontal="center"/>
    </xf>
    <xf numFmtId="0" fontId="10" fillId="0" borderId="31" xfId="0" applyFont="1" applyBorder="1"/>
    <xf numFmtId="0" fontId="10" fillId="4" borderId="31" xfId="0" applyFont="1" applyFill="1" applyBorder="1"/>
    <xf numFmtId="0" fontId="10" fillId="0" borderId="43" xfId="0" applyFont="1" applyBorder="1" applyAlignment="1">
      <alignment horizontal="center"/>
    </xf>
    <xf numFmtId="0" fontId="10" fillId="0" borderId="43" xfId="0" applyFont="1" applyBorder="1"/>
    <xf numFmtId="0" fontId="10" fillId="0" borderId="43" xfId="0" applyFont="1" applyFill="1" applyBorder="1"/>
    <xf numFmtId="0" fontId="10" fillId="0" borderId="21" xfId="0" applyFont="1" applyFill="1" applyBorder="1"/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/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J24" sqref="J24"/>
    </sheetView>
  </sheetViews>
  <sheetFormatPr defaultRowHeight="15.75" x14ac:dyDescent="0.25"/>
  <cols>
    <col min="1" max="1" width="7.140625" style="99" customWidth="1"/>
    <col min="2" max="2" width="23" style="99" customWidth="1"/>
    <col min="3" max="3" width="9.140625" style="113"/>
    <col min="4" max="4" width="23.7109375" style="99" customWidth="1"/>
    <col min="5" max="5" width="9.140625" style="113"/>
    <col min="6" max="16384" width="9.140625" style="99"/>
  </cols>
  <sheetData>
    <row r="1" spans="1:7" x14ac:dyDescent="0.25">
      <c r="A1" s="97" t="s">
        <v>66</v>
      </c>
      <c r="B1" s="98" t="s">
        <v>67</v>
      </c>
      <c r="C1" s="97" t="s">
        <v>68</v>
      </c>
      <c r="D1" s="98" t="s">
        <v>69</v>
      </c>
      <c r="E1" s="97" t="s">
        <v>68</v>
      </c>
      <c r="F1" s="98" t="s">
        <v>70</v>
      </c>
    </row>
    <row r="2" spans="1:7" s="102" customFormat="1" x14ac:dyDescent="0.25">
      <c r="A2" s="100"/>
      <c r="B2" s="101"/>
      <c r="C2" s="100" t="s">
        <v>71</v>
      </c>
      <c r="D2" s="101"/>
      <c r="E2" s="100"/>
      <c r="F2" s="101"/>
    </row>
    <row r="3" spans="1:7" x14ac:dyDescent="0.25">
      <c r="A3" s="97">
        <v>1</v>
      </c>
      <c r="B3" s="98" t="s">
        <v>72</v>
      </c>
      <c r="C3" s="97">
        <v>133</v>
      </c>
      <c r="D3" s="98" t="s">
        <v>73</v>
      </c>
      <c r="E3" s="97">
        <v>136</v>
      </c>
      <c r="F3" s="103">
        <v>269</v>
      </c>
      <c r="G3" s="98"/>
    </row>
    <row r="4" spans="1:7" x14ac:dyDescent="0.25">
      <c r="A4" s="97">
        <v>2</v>
      </c>
      <c r="B4" s="98" t="s">
        <v>74</v>
      </c>
      <c r="C4" s="97">
        <v>111</v>
      </c>
      <c r="D4" s="98" t="s">
        <v>75</v>
      </c>
      <c r="E4" s="97">
        <v>110</v>
      </c>
      <c r="F4" s="103">
        <v>221</v>
      </c>
      <c r="G4" s="98"/>
    </row>
    <row r="5" spans="1:7" x14ac:dyDescent="0.25">
      <c r="A5" s="97">
        <v>3</v>
      </c>
      <c r="B5" s="98" t="s">
        <v>76</v>
      </c>
      <c r="C5" s="97">
        <v>113</v>
      </c>
      <c r="D5" s="98" t="s">
        <v>77</v>
      </c>
      <c r="E5" s="97">
        <v>103</v>
      </c>
      <c r="F5" s="103">
        <v>216</v>
      </c>
      <c r="G5" s="98"/>
    </row>
    <row r="6" spans="1:7" x14ac:dyDescent="0.25">
      <c r="A6" s="97">
        <v>4</v>
      </c>
      <c r="B6" s="98" t="s">
        <v>78</v>
      </c>
      <c r="C6" s="97">
        <v>86</v>
      </c>
      <c r="D6" s="98" t="s">
        <v>79</v>
      </c>
      <c r="E6" s="97">
        <v>109</v>
      </c>
      <c r="F6" s="103">
        <v>195</v>
      </c>
      <c r="G6" s="98"/>
    </row>
    <row r="7" spans="1:7" x14ac:dyDescent="0.25">
      <c r="A7" s="97">
        <v>5</v>
      </c>
      <c r="B7" s="98" t="s">
        <v>80</v>
      </c>
      <c r="C7" s="97">
        <v>74</v>
      </c>
      <c r="D7" s="98" t="s">
        <v>81</v>
      </c>
      <c r="E7" s="97">
        <v>104</v>
      </c>
      <c r="F7" s="103">
        <v>178</v>
      </c>
      <c r="G7" s="98"/>
    </row>
    <row r="8" spans="1:7" x14ac:dyDescent="0.25">
      <c r="A8" s="97">
        <v>6</v>
      </c>
      <c r="B8" s="98" t="s">
        <v>82</v>
      </c>
      <c r="C8" s="97">
        <v>75</v>
      </c>
      <c r="D8" s="98" t="s">
        <v>83</v>
      </c>
      <c r="E8" s="97">
        <v>90</v>
      </c>
      <c r="F8" s="103">
        <v>165</v>
      </c>
      <c r="G8" s="98"/>
    </row>
    <row r="9" spans="1:7" ht="16.5" thickBot="1" x14ac:dyDescent="0.3">
      <c r="A9" s="104">
        <v>7</v>
      </c>
      <c r="B9" s="105" t="s">
        <v>84</v>
      </c>
      <c r="C9" s="104">
        <v>124</v>
      </c>
      <c r="D9" s="105" t="s">
        <v>85</v>
      </c>
      <c r="E9" s="104"/>
      <c r="F9" s="106">
        <v>124</v>
      </c>
      <c r="G9" s="98"/>
    </row>
    <row r="10" spans="1:7" x14ac:dyDescent="0.25">
      <c r="A10" s="107">
        <v>8</v>
      </c>
      <c r="B10" s="108" t="s">
        <v>86</v>
      </c>
      <c r="C10" s="107">
        <v>67</v>
      </c>
      <c r="D10" s="108" t="s">
        <v>87</v>
      </c>
      <c r="E10" s="107">
        <v>45</v>
      </c>
      <c r="F10" s="109">
        <v>112</v>
      </c>
      <c r="G10" s="98"/>
    </row>
    <row r="11" spans="1:7" x14ac:dyDescent="0.25">
      <c r="A11" s="97">
        <v>9</v>
      </c>
      <c r="B11" s="98" t="s">
        <v>88</v>
      </c>
      <c r="C11" s="97">
        <v>45</v>
      </c>
      <c r="D11" s="98" t="s">
        <v>89</v>
      </c>
      <c r="E11" s="97">
        <v>55</v>
      </c>
      <c r="F11" s="110">
        <v>100</v>
      </c>
      <c r="G11" s="98"/>
    </row>
    <row r="12" spans="1:7" x14ac:dyDescent="0.25">
      <c r="A12" s="97">
        <v>10</v>
      </c>
      <c r="B12" s="98" t="s">
        <v>90</v>
      </c>
      <c r="C12" s="97">
        <v>86</v>
      </c>
      <c r="D12" s="98" t="s">
        <v>91</v>
      </c>
      <c r="E12" s="97"/>
      <c r="F12" s="98">
        <v>86</v>
      </c>
      <c r="G12" s="98"/>
    </row>
    <row r="13" spans="1:7" x14ac:dyDescent="0.25">
      <c r="A13" s="97">
        <v>11</v>
      </c>
      <c r="B13" s="98" t="s">
        <v>92</v>
      </c>
      <c r="C13" s="97">
        <v>10</v>
      </c>
      <c r="D13" s="98" t="s">
        <v>93</v>
      </c>
      <c r="E13" s="97">
        <v>69</v>
      </c>
      <c r="F13" s="98">
        <v>79</v>
      </c>
      <c r="G13" s="98"/>
    </row>
    <row r="14" spans="1:7" x14ac:dyDescent="0.25">
      <c r="A14" s="97">
        <v>12</v>
      </c>
      <c r="B14" s="98" t="s">
        <v>94</v>
      </c>
      <c r="C14" s="97">
        <v>20</v>
      </c>
      <c r="D14" s="98" t="s">
        <v>95</v>
      </c>
      <c r="E14" s="97">
        <v>36</v>
      </c>
      <c r="F14" s="98">
        <v>56</v>
      </c>
      <c r="G14" s="98"/>
    </row>
    <row r="15" spans="1:7" x14ac:dyDescent="0.25">
      <c r="A15" s="97">
        <v>13</v>
      </c>
      <c r="B15" s="98" t="s">
        <v>96</v>
      </c>
      <c r="C15" s="97"/>
      <c r="D15" s="98" t="s">
        <v>97</v>
      </c>
      <c r="E15" s="97">
        <v>45</v>
      </c>
      <c r="F15" s="98">
        <v>45</v>
      </c>
      <c r="G15" s="98"/>
    </row>
    <row r="16" spans="1:7" x14ac:dyDescent="0.25">
      <c r="A16" s="97">
        <v>14</v>
      </c>
      <c r="B16" s="98" t="s">
        <v>98</v>
      </c>
      <c r="C16" s="97"/>
      <c r="D16" s="98" t="s">
        <v>99</v>
      </c>
      <c r="E16" s="97">
        <v>19</v>
      </c>
      <c r="F16" s="98">
        <v>19</v>
      </c>
      <c r="G16" s="98"/>
    </row>
    <row r="17" spans="1:7" x14ac:dyDescent="0.25">
      <c r="A17" s="97">
        <v>15</v>
      </c>
      <c r="B17" s="98" t="s">
        <v>100</v>
      </c>
      <c r="C17" s="97">
        <v>11</v>
      </c>
      <c r="D17" s="98" t="s">
        <v>101</v>
      </c>
      <c r="E17" s="97">
        <v>4</v>
      </c>
      <c r="F17" s="98">
        <v>15</v>
      </c>
      <c r="G17" s="98"/>
    </row>
    <row r="18" spans="1:7" x14ac:dyDescent="0.25">
      <c r="A18" s="97">
        <v>16</v>
      </c>
      <c r="B18" s="98" t="s">
        <v>102</v>
      </c>
      <c r="C18" s="97"/>
      <c r="D18" s="98" t="s">
        <v>103</v>
      </c>
      <c r="E18" s="97"/>
      <c r="F18" s="98">
        <v>0</v>
      </c>
      <c r="G18" s="98"/>
    </row>
    <row r="19" spans="1:7" s="102" customFormat="1" x14ac:dyDescent="0.25">
      <c r="A19" s="111"/>
      <c r="B19" s="112"/>
      <c r="C19" s="111" t="s">
        <v>104</v>
      </c>
      <c r="D19" s="112"/>
      <c r="E19" s="111"/>
      <c r="F19" s="112"/>
      <c r="G19" s="101"/>
    </row>
    <row r="20" spans="1:7" x14ac:dyDescent="0.25">
      <c r="A20" s="97">
        <v>1</v>
      </c>
      <c r="B20" s="98" t="s">
        <v>105</v>
      </c>
      <c r="C20" s="97">
        <v>129</v>
      </c>
      <c r="D20" s="98" t="s">
        <v>106</v>
      </c>
      <c r="E20" s="97">
        <v>125</v>
      </c>
      <c r="F20" s="103">
        <v>254</v>
      </c>
      <c r="G20" s="98"/>
    </row>
    <row r="21" spans="1:7" x14ac:dyDescent="0.25">
      <c r="A21" s="97">
        <v>2</v>
      </c>
      <c r="B21" s="98" t="s">
        <v>107</v>
      </c>
      <c r="C21" s="97">
        <v>79</v>
      </c>
      <c r="D21" s="98" t="s">
        <v>108</v>
      </c>
      <c r="E21" s="97">
        <v>152</v>
      </c>
      <c r="F21" s="103">
        <v>231</v>
      </c>
      <c r="G21" s="98"/>
    </row>
    <row r="22" spans="1:7" x14ac:dyDescent="0.25">
      <c r="A22" s="97">
        <v>3</v>
      </c>
      <c r="B22" s="98" t="s">
        <v>109</v>
      </c>
      <c r="C22" s="97">
        <v>128</v>
      </c>
      <c r="D22" s="98" t="s">
        <v>110</v>
      </c>
      <c r="E22" s="97">
        <v>95</v>
      </c>
      <c r="F22" s="103">
        <v>223</v>
      </c>
      <c r="G22" s="98"/>
    </row>
    <row r="23" spans="1:7" x14ac:dyDescent="0.25">
      <c r="A23" s="97">
        <v>4</v>
      </c>
      <c r="B23" s="98" t="s">
        <v>111</v>
      </c>
      <c r="C23" s="97">
        <v>98</v>
      </c>
      <c r="D23" s="98" t="s">
        <v>112</v>
      </c>
      <c r="E23" s="97">
        <v>121</v>
      </c>
      <c r="F23" s="103">
        <v>219</v>
      </c>
      <c r="G23" s="98"/>
    </row>
    <row r="24" spans="1:7" x14ac:dyDescent="0.25">
      <c r="A24" s="97">
        <v>5</v>
      </c>
      <c r="B24" s="98" t="s">
        <v>113</v>
      </c>
      <c r="C24" s="97">
        <v>133</v>
      </c>
      <c r="D24" s="98" t="s">
        <v>114</v>
      </c>
      <c r="E24" s="97">
        <v>66</v>
      </c>
      <c r="F24" s="103">
        <v>199</v>
      </c>
      <c r="G24" s="98"/>
    </row>
    <row r="25" spans="1:7" x14ac:dyDescent="0.25">
      <c r="A25" s="97">
        <v>6</v>
      </c>
      <c r="B25" s="98" t="s">
        <v>115</v>
      </c>
      <c r="C25" s="97">
        <v>107</v>
      </c>
      <c r="D25" s="98" t="s">
        <v>116</v>
      </c>
      <c r="E25" s="97">
        <v>85</v>
      </c>
      <c r="F25" s="103">
        <v>192</v>
      </c>
      <c r="G25" s="98"/>
    </row>
    <row r="26" spans="1:7" x14ac:dyDescent="0.25">
      <c r="A26" s="97">
        <v>7</v>
      </c>
      <c r="B26" s="98" t="s">
        <v>117</v>
      </c>
      <c r="C26" s="97">
        <v>81</v>
      </c>
      <c r="D26" s="98" t="s">
        <v>118</v>
      </c>
      <c r="E26" s="97">
        <v>109</v>
      </c>
      <c r="F26" s="103">
        <v>190</v>
      </c>
      <c r="G26" s="98"/>
    </row>
    <row r="27" spans="1:7" x14ac:dyDescent="0.25">
      <c r="A27" s="97">
        <v>8</v>
      </c>
      <c r="B27" s="98" t="s">
        <v>119</v>
      </c>
      <c r="C27" s="97">
        <v>104</v>
      </c>
      <c r="D27" s="98" t="s">
        <v>120</v>
      </c>
      <c r="E27" s="97">
        <v>83</v>
      </c>
      <c r="F27" s="103">
        <v>187</v>
      </c>
      <c r="G27" s="98"/>
    </row>
    <row r="28" spans="1:7" ht="16.5" thickBot="1" x14ac:dyDescent="0.3">
      <c r="A28" s="104">
        <v>9</v>
      </c>
      <c r="B28" s="105" t="s">
        <v>121</v>
      </c>
      <c r="C28" s="104"/>
      <c r="D28" s="105" t="s">
        <v>122</v>
      </c>
      <c r="E28" s="104">
        <v>144</v>
      </c>
      <c r="F28" s="106">
        <v>144</v>
      </c>
      <c r="G28" s="105"/>
    </row>
    <row r="29" spans="1:7" x14ac:dyDescent="0.25">
      <c r="A29" s="107">
        <v>10</v>
      </c>
      <c r="B29" s="108" t="s">
        <v>123</v>
      </c>
      <c r="C29" s="107"/>
      <c r="D29" s="108" t="s">
        <v>124</v>
      </c>
      <c r="E29" s="107">
        <v>58</v>
      </c>
      <c r="F29" s="108">
        <v>58</v>
      </c>
      <c r="G29" s="108"/>
    </row>
    <row r="30" spans="1:7" x14ac:dyDescent="0.25">
      <c r="A30" s="97">
        <v>11</v>
      </c>
      <c r="B30" s="98" t="s">
        <v>125</v>
      </c>
      <c r="C30" s="97">
        <v>56</v>
      </c>
      <c r="D30" s="98" t="s">
        <v>126</v>
      </c>
      <c r="E30" s="97"/>
      <c r="F30" s="98">
        <v>56</v>
      </c>
      <c r="G30" s="98"/>
    </row>
    <row r="31" spans="1:7" x14ac:dyDescent="0.25">
      <c r="A31" s="97">
        <v>12</v>
      </c>
      <c r="B31" s="98" t="s">
        <v>127</v>
      </c>
      <c r="C31" s="97">
        <v>11</v>
      </c>
      <c r="D31" s="98" t="s">
        <v>128</v>
      </c>
      <c r="E31" s="97">
        <v>33</v>
      </c>
      <c r="F31" s="98">
        <v>44</v>
      </c>
      <c r="G31" s="98"/>
    </row>
    <row r="32" spans="1:7" x14ac:dyDescent="0.25">
      <c r="A32" s="97">
        <v>13</v>
      </c>
      <c r="B32" s="98" t="s">
        <v>129</v>
      </c>
      <c r="C32" s="97">
        <v>41</v>
      </c>
      <c r="D32" s="98" t="s">
        <v>130</v>
      </c>
      <c r="E32" s="97"/>
      <c r="F32" s="98">
        <v>41</v>
      </c>
      <c r="G32" s="98"/>
    </row>
    <row r="33" spans="1:7" x14ac:dyDescent="0.25">
      <c r="A33" s="97">
        <v>14</v>
      </c>
      <c r="B33" s="98" t="s">
        <v>131</v>
      </c>
      <c r="C33" s="97">
        <v>36</v>
      </c>
      <c r="D33" s="98" t="s">
        <v>132</v>
      </c>
      <c r="E33" s="97">
        <v>91</v>
      </c>
      <c r="F33" s="98">
        <v>127</v>
      </c>
      <c r="G33" s="98"/>
    </row>
    <row r="34" spans="1:7" x14ac:dyDescent="0.25">
      <c r="A34" s="97">
        <v>15</v>
      </c>
      <c r="B34" s="98" t="s">
        <v>133</v>
      </c>
      <c r="C34" s="97"/>
      <c r="D34" s="98" t="s">
        <v>134</v>
      </c>
      <c r="E34" s="97"/>
      <c r="F34" s="98">
        <v>0</v>
      </c>
      <c r="G34" s="98"/>
    </row>
    <row r="35" spans="1:7" x14ac:dyDescent="0.25">
      <c r="A35" s="97">
        <v>16</v>
      </c>
      <c r="B35" s="98" t="s">
        <v>135</v>
      </c>
      <c r="C35" s="97"/>
      <c r="D35" s="98" t="s">
        <v>136</v>
      </c>
      <c r="E35" s="97"/>
      <c r="F35" s="98">
        <v>0</v>
      </c>
      <c r="G35" s="98"/>
    </row>
    <row r="36" spans="1:7" x14ac:dyDescent="0.25">
      <c r="A36" s="97">
        <v>17</v>
      </c>
      <c r="B36" s="98" t="s">
        <v>137</v>
      </c>
      <c r="C36" s="97"/>
      <c r="D36" s="98" t="s">
        <v>138</v>
      </c>
      <c r="E36" s="97"/>
      <c r="F36" s="98">
        <v>0</v>
      </c>
      <c r="G36" s="98"/>
    </row>
    <row r="37" spans="1:7" x14ac:dyDescent="0.25">
      <c r="A37" s="97">
        <v>18</v>
      </c>
      <c r="B37" s="98" t="s">
        <v>139</v>
      </c>
      <c r="C37" s="97"/>
      <c r="D37" s="98" t="s">
        <v>140</v>
      </c>
      <c r="E37" s="97"/>
      <c r="F37" s="98">
        <v>0</v>
      </c>
      <c r="G37" s="9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N10" sqref="N10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1:13" ht="31.5" x14ac:dyDescent="0.25">
      <c r="B1" s="71" t="s">
        <v>18</v>
      </c>
      <c r="C1" s="71"/>
      <c r="D1" s="71"/>
      <c r="E1" s="71"/>
      <c r="F1" s="71"/>
      <c r="G1" s="71"/>
      <c r="H1" s="71"/>
      <c r="I1" s="71"/>
      <c r="J1" s="71"/>
      <c r="K1" s="71"/>
    </row>
    <row r="2" spans="1:13" ht="15.75" thickBot="1" x14ac:dyDescent="0.3"/>
    <row r="3" spans="1:13" ht="15.75" thickBot="1" x14ac:dyDescent="0.3">
      <c r="B3" s="2"/>
      <c r="C3" s="72" t="s">
        <v>0</v>
      </c>
      <c r="D3" s="73"/>
      <c r="E3" s="74"/>
      <c r="F3" s="3">
        <v>1</v>
      </c>
      <c r="G3" s="3">
        <v>2</v>
      </c>
      <c r="H3" s="4">
        <v>3</v>
      </c>
      <c r="I3" s="4">
        <v>4</v>
      </c>
      <c r="J3" s="2" t="s">
        <v>1</v>
      </c>
      <c r="K3" s="3" t="s">
        <v>2</v>
      </c>
      <c r="L3" s="33" t="s">
        <v>3</v>
      </c>
    </row>
    <row r="4" spans="1:13" ht="21" x14ac:dyDescent="0.25">
      <c r="B4" s="75">
        <v>1</v>
      </c>
      <c r="C4" s="86" t="s">
        <v>46</v>
      </c>
      <c r="D4" s="87"/>
      <c r="E4" s="88"/>
      <c r="F4" s="7" t="s">
        <v>4</v>
      </c>
      <c r="G4" s="8" t="str">
        <f ca="1">INDIRECT(ADDRESS(21,6))&amp;":"&amp;INDIRECT(ADDRESS(21,7))</f>
        <v>11:13</v>
      </c>
      <c r="H4" s="8" t="str">
        <f ca="1">INDIRECT(ADDRESS(25,7))&amp;":"&amp;INDIRECT(ADDRESS(25,6))</f>
        <v>12:6</v>
      </c>
      <c r="I4" s="9" t="str">
        <f ca="1">INDIRECT(ADDRESS(16,6))&amp;":"&amp;INDIRECT(ADDRESS(16,7))</f>
        <v>8:9</v>
      </c>
      <c r="J4" s="85">
        <f ca="1">IF(COUNT(F5:I5)=0,"",COUNTIF(F5:I5,"&gt;0")+0.5*COUNTIF(F5:I5,0))</f>
        <v>1</v>
      </c>
      <c r="K4" s="10"/>
      <c r="L4" s="84">
        <v>3</v>
      </c>
    </row>
    <row r="5" spans="1:13" ht="21" x14ac:dyDescent="0.25">
      <c r="B5" s="65"/>
      <c r="C5" s="55"/>
      <c r="D5" s="56"/>
      <c r="E5" s="57"/>
      <c r="F5" s="11" t="s">
        <v>4</v>
      </c>
      <c r="G5" s="12">
        <f ca="1">IF(LEN(INDIRECT(ADDRESS(ROW()-1, COLUMN())))=1,"",INDIRECT(ADDRESS(21,6))-INDIRECT(ADDRESS(21,7)))</f>
        <v>-2</v>
      </c>
      <c r="H5" s="12">
        <f ca="1">IF(LEN(INDIRECT(ADDRESS(ROW()-1, COLUMN())))=1,"",INDIRECT(ADDRESS(25,7))-INDIRECT(ADDRESS(25,6)))</f>
        <v>6</v>
      </c>
      <c r="I5" s="13">
        <f ca="1">IF(LEN(INDIRECT(ADDRESS(ROW()-1, COLUMN())))=1,"",INDIRECT(ADDRESS(16,6))-INDIRECT(ADDRESS(16,7)))</f>
        <v>-1</v>
      </c>
      <c r="J5" s="81"/>
      <c r="K5" s="12">
        <f ca="1">IF(COUNT(F5:I5)=0,"",SUM(F5:I5))</f>
        <v>3</v>
      </c>
      <c r="L5" s="80"/>
    </row>
    <row r="6" spans="1:13" ht="21" x14ac:dyDescent="0.25">
      <c r="B6" s="53">
        <v>2</v>
      </c>
      <c r="C6" s="55" t="s">
        <v>29</v>
      </c>
      <c r="D6" s="56"/>
      <c r="E6" s="57"/>
      <c r="F6" s="14" t="str">
        <f ca="1">INDIRECT(ADDRESS(21,7))&amp;":"&amp;INDIRECT(ADDRESS(21,6))</f>
        <v>13:11</v>
      </c>
      <c r="G6" s="15" t="s">
        <v>4</v>
      </c>
      <c r="H6" s="16" t="str">
        <f ca="1">INDIRECT(ADDRESS(17,6))&amp;":"&amp;INDIRECT(ADDRESS(17,7))</f>
        <v>10:13</v>
      </c>
      <c r="I6" s="17" t="str">
        <f ca="1">INDIRECT(ADDRESS(24,6))&amp;":"&amp;INDIRECT(ADDRESS(24,7))</f>
        <v>13:10</v>
      </c>
      <c r="J6" s="81">
        <f ca="1">IF(COUNT(F7:I7)=0,"",COUNTIF(F7:I7,"&gt;0")+0.5*COUNTIF(F7:I7,0))</f>
        <v>2</v>
      </c>
      <c r="K6" s="12"/>
      <c r="L6" s="80">
        <v>1</v>
      </c>
    </row>
    <row r="7" spans="1:13" ht="21" x14ac:dyDescent="0.25">
      <c r="B7" s="65"/>
      <c r="C7" s="55"/>
      <c r="D7" s="56"/>
      <c r="E7" s="57"/>
      <c r="F7" s="18">
        <f ca="1">IF(LEN(INDIRECT(ADDRESS(ROW()-1, COLUMN())))=1,"",INDIRECT(ADDRESS(21,7))-INDIRECT(ADDRESS(21,6)))</f>
        <v>2</v>
      </c>
      <c r="G7" s="19" t="s">
        <v>4</v>
      </c>
      <c r="H7" s="12">
        <f ca="1">IF(LEN(INDIRECT(ADDRESS(ROW()-1, COLUMN())))=1,"",INDIRECT(ADDRESS(17,6))-INDIRECT(ADDRESS(17,7)))</f>
        <v>-3</v>
      </c>
      <c r="I7" s="13">
        <f ca="1">IF(LEN(INDIRECT(ADDRESS(ROW()-1, COLUMN())))=1,"",INDIRECT(ADDRESS(24,6))-INDIRECT(ADDRESS(24,7)))</f>
        <v>3</v>
      </c>
      <c r="J7" s="81"/>
      <c r="K7" s="12">
        <f ca="1">IF(COUNT(F7:I7)=0,"",SUM(F7:I7))</f>
        <v>2</v>
      </c>
      <c r="L7" s="80"/>
    </row>
    <row r="8" spans="1:13" ht="21" x14ac:dyDescent="0.25">
      <c r="B8" s="53">
        <v>3</v>
      </c>
      <c r="C8" s="55" t="s">
        <v>31</v>
      </c>
      <c r="D8" s="56"/>
      <c r="E8" s="57"/>
      <c r="F8" s="14" t="str">
        <f ca="1">INDIRECT(ADDRESS(25,6))&amp;":"&amp;INDIRECT(ADDRESS(25,7))</f>
        <v>6:12</v>
      </c>
      <c r="G8" s="16" t="str">
        <f ca="1">INDIRECT(ADDRESS(17,7))&amp;":"&amp;INDIRECT(ADDRESS(17,6))</f>
        <v>13:10</v>
      </c>
      <c r="H8" s="15" t="s">
        <v>4</v>
      </c>
      <c r="I8" s="17" t="str">
        <f ca="1">INDIRECT(ADDRESS(20,7))&amp;":"&amp;INDIRECT(ADDRESS(20,6))</f>
        <v>8:9</v>
      </c>
      <c r="J8" s="81">
        <f ca="1">IF(COUNT(F9:I9)=0,"",COUNTIF(F9:I9,"&gt;0")+0.5*COUNTIF(F9:I9,0))</f>
        <v>1</v>
      </c>
      <c r="K8" s="12"/>
      <c r="L8" s="80">
        <v>4</v>
      </c>
    </row>
    <row r="9" spans="1:13" ht="21" x14ac:dyDescent="0.25">
      <c r="B9" s="65"/>
      <c r="C9" s="55"/>
      <c r="D9" s="56"/>
      <c r="E9" s="57"/>
      <c r="F9" s="18">
        <f ca="1">IF(LEN(INDIRECT(ADDRESS(ROW()-1, COLUMN())))=1,"",INDIRECT(ADDRESS(25,6))-INDIRECT(ADDRESS(25,7)))</f>
        <v>-6</v>
      </c>
      <c r="G9" s="12">
        <f ca="1">IF(LEN(INDIRECT(ADDRESS(ROW()-1, COLUMN())))=1,"",INDIRECT(ADDRESS(17,7))-INDIRECT(ADDRESS(17,6)))</f>
        <v>3</v>
      </c>
      <c r="H9" s="19" t="s">
        <v>4</v>
      </c>
      <c r="I9" s="13">
        <f ca="1">IF(LEN(INDIRECT(ADDRESS(ROW()-1, COLUMN())))=1,"",INDIRECT(ADDRESS(20,7))-INDIRECT(ADDRESS(20,6)))</f>
        <v>-1</v>
      </c>
      <c r="J9" s="81"/>
      <c r="K9" s="12">
        <f ca="1">IF(COUNT(F9:I9)=0,"",SUM(F9:I9))</f>
        <v>-4</v>
      </c>
      <c r="L9" s="80"/>
    </row>
    <row r="10" spans="1:13" ht="21" x14ac:dyDescent="0.25">
      <c r="B10" s="53">
        <v>4</v>
      </c>
      <c r="C10" s="55" t="s">
        <v>50</v>
      </c>
      <c r="D10" s="56"/>
      <c r="E10" s="57"/>
      <c r="F10" s="14" t="str">
        <f ca="1">INDIRECT(ADDRESS(16,7))&amp;":"&amp;INDIRECT(ADDRESS(16,6))</f>
        <v>9:8</v>
      </c>
      <c r="G10" s="16" t="str">
        <f ca="1">INDIRECT(ADDRESS(24,7))&amp;":"&amp;INDIRECT(ADDRESS(24,6))</f>
        <v>10:13</v>
      </c>
      <c r="H10" s="16" t="str">
        <f ca="1">INDIRECT(ADDRESS(20,6))&amp;":"&amp;INDIRECT(ADDRESS(20,7))</f>
        <v>9:8</v>
      </c>
      <c r="I10" s="20" t="s">
        <v>4</v>
      </c>
      <c r="J10" s="81">
        <f ca="1">IF(COUNT(F11:I11)=0,"",COUNTIF(F11:I11,"&gt;0")+0.5*COUNTIF(F11:I11,0))</f>
        <v>2</v>
      </c>
      <c r="K10" s="12"/>
      <c r="L10" s="80">
        <v>2</v>
      </c>
    </row>
    <row r="11" spans="1:13" ht="21.75" thickBot="1" x14ac:dyDescent="0.3">
      <c r="B11" s="54"/>
      <c r="C11" s="58"/>
      <c r="D11" s="59"/>
      <c r="E11" s="60"/>
      <c r="F11" s="21">
        <f ca="1">IF(LEN(INDIRECT(ADDRESS(ROW()-1, COLUMN())))=1,"",INDIRECT(ADDRESS(16,7))-INDIRECT(ADDRESS(16,6)))</f>
        <v>1</v>
      </c>
      <c r="G11" s="22">
        <f ca="1">IF(LEN(INDIRECT(ADDRESS(ROW()-1, COLUMN())))=1,"",INDIRECT(ADDRESS(24,7))-INDIRECT(ADDRESS(24,6)))</f>
        <v>-3</v>
      </c>
      <c r="H11" s="22">
        <f ca="1">IF(LEN(INDIRECT(ADDRESS(ROW()-1, COLUMN())))=1,"",INDIRECT(ADDRESS(20,6))-INDIRECT(ADDRESS(20,7)))</f>
        <v>1</v>
      </c>
      <c r="I11" s="23" t="s">
        <v>4</v>
      </c>
      <c r="J11" s="82"/>
      <c r="K11" s="22">
        <f ca="1">IF(COUNT(F11:I11)=0,"",SUM(F11:I11))</f>
        <v>-1</v>
      </c>
      <c r="L11" s="83"/>
    </row>
    <row r="15" spans="1:13" s="25" customFormat="1" ht="21.75" thickBot="1" x14ac:dyDescent="0.4">
      <c r="A15" s="24"/>
      <c r="B15" s="52" t="s">
        <v>5</v>
      </c>
      <c r="C15" s="52"/>
      <c r="D15" s="52"/>
      <c r="E15" s="52"/>
      <c r="F15" s="52"/>
      <c r="G15" s="52"/>
      <c r="H15" s="52"/>
      <c r="I15" s="52"/>
      <c r="J15" s="52"/>
      <c r="K15" s="52"/>
      <c r="M15" s="36"/>
    </row>
    <row r="16" spans="1:13" s="25" customFormat="1" ht="21.75" thickBot="1" x14ac:dyDescent="0.4">
      <c r="A16" s="24"/>
      <c r="B16" s="26">
        <v>1</v>
      </c>
      <c r="C16" s="49" t="str">
        <f ca="1">IF(ISBLANK(INDIRECT(ADDRESS(B16*2+2,3))),"",INDIRECT(ADDRESS(B16*2+2,3)))</f>
        <v>Хафизова, Мишин</v>
      </c>
      <c r="D16" s="49"/>
      <c r="E16" s="50"/>
      <c r="F16" s="27">
        <v>8</v>
      </c>
      <c r="G16" s="28">
        <v>9</v>
      </c>
      <c r="H16" s="51" t="str">
        <f ca="1">IF(ISBLANK(INDIRECT(ADDRESS(K16*2+2,3))),"",INDIRECT(ADDRESS(K16*2+2,3)))</f>
        <v>Кайтукова, Шапкин</v>
      </c>
      <c r="I16" s="49"/>
      <c r="J16" s="49"/>
      <c r="K16" s="26">
        <v>4</v>
      </c>
      <c r="L16" s="29" t="s">
        <v>6</v>
      </c>
      <c r="M16" s="31">
        <v>5</v>
      </c>
    </row>
    <row r="17" spans="1:13" s="25" customFormat="1" ht="21.75" thickBot="1" x14ac:dyDescent="0.4">
      <c r="A17" s="24"/>
      <c r="B17" s="26">
        <v>2</v>
      </c>
      <c r="C17" s="49" t="str">
        <f ca="1">IF(ISBLANK(INDIRECT(ADDRESS(B17*2+2,3))),"",INDIRECT(ADDRESS(B17*2+2,3)))</f>
        <v>Зубова, Африканов</v>
      </c>
      <c r="D17" s="49"/>
      <c r="E17" s="50"/>
      <c r="F17" s="27">
        <v>10</v>
      </c>
      <c r="G17" s="28">
        <v>13</v>
      </c>
      <c r="H17" s="51" t="str">
        <f ca="1">IF(ISBLANK(INDIRECT(ADDRESS(K17*2+2,3))),"",INDIRECT(ADDRESS(K17*2+2,3)))</f>
        <v>Лукьянова, Тихонов</v>
      </c>
      <c r="I17" s="49"/>
      <c r="J17" s="49"/>
      <c r="K17" s="26">
        <v>3</v>
      </c>
      <c r="L17" s="29" t="s">
        <v>6</v>
      </c>
      <c r="M17" s="31">
        <v>6</v>
      </c>
    </row>
    <row r="18" spans="1:13" s="25" customFormat="1" ht="21" x14ac:dyDescent="0.35">
      <c r="A18" s="24"/>
      <c r="M18" s="31"/>
    </row>
    <row r="19" spans="1:13" s="25" customFormat="1" ht="21.75" thickBot="1" x14ac:dyDescent="0.4">
      <c r="A19" s="24"/>
      <c r="B19" s="52" t="s">
        <v>7</v>
      </c>
      <c r="C19" s="52"/>
      <c r="D19" s="52"/>
      <c r="E19" s="52"/>
      <c r="F19" s="52"/>
      <c r="G19" s="52"/>
      <c r="H19" s="52"/>
      <c r="I19" s="52"/>
      <c r="J19" s="52"/>
      <c r="K19" s="52"/>
      <c r="M19" s="31"/>
    </row>
    <row r="20" spans="1:13" s="25" customFormat="1" ht="21.75" thickBot="1" x14ac:dyDescent="0.4">
      <c r="A20" s="24"/>
      <c r="B20" s="26">
        <v>4</v>
      </c>
      <c r="C20" s="49" t="str">
        <f ca="1">IF(ISBLANK(INDIRECT(ADDRESS(B20*2+2,3))),"",INDIRECT(ADDRESS(B20*2+2,3)))</f>
        <v>Кайтукова, Шапкин</v>
      </c>
      <c r="D20" s="49"/>
      <c r="E20" s="50"/>
      <c r="F20" s="27">
        <v>9</v>
      </c>
      <c r="G20" s="28">
        <v>8</v>
      </c>
      <c r="H20" s="51" t="str">
        <f ca="1">IF(ISBLANK(INDIRECT(ADDRESS(K20*2+2,3))),"",INDIRECT(ADDRESS(K20*2+2,3)))</f>
        <v>Лукьянова, Тихонов</v>
      </c>
      <c r="I20" s="49"/>
      <c r="J20" s="49"/>
      <c r="K20" s="26">
        <v>3</v>
      </c>
      <c r="L20" s="29" t="s">
        <v>6</v>
      </c>
      <c r="M20" s="31">
        <v>7</v>
      </c>
    </row>
    <row r="21" spans="1:13" s="25" customFormat="1" ht="21.75" thickBot="1" x14ac:dyDescent="0.4">
      <c r="A21" s="24"/>
      <c r="B21" s="26">
        <v>1</v>
      </c>
      <c r="C21" s="49" t="str">
        <f ca="1">IF(ISBLANK(INDIRECT(ADDRESS(B21*2+2,3))),"",INDIRECT(ADDRESS(B21*2+2,3)))</f>
        <v>Хафизова, Мишин</v>
      </c>
      <c r="D21" s="49"/>
      <c r="E21" s="50"/>
      <c r="F21" s="27">
        <v>11</v>
      </c>
      <c r="G21" s="28">
        <v>13</v>
      </c>
      <c r="H21" s="51" t="str">
        <f ca="1">IF(ISBLANK(INDIRECT(ADDRESS(K21*2+2,3))),"",INDIRECT(ADDRESS(K21*2+2,3)))</f>
        <v>Зубова, Африканов</v>
      </c>
      <c r="I21" s="49"/>
      <c r="J21" s="49"/>
      <c r="K21" s="26">
        <v>2</v>
      </c>
      <c r="L21" s="29" t="s">
        <v>6</v>
      </c>
      <c r="M21" s="31">
        <v>8</v>
      </c>
    </row>
    <row r="22" spans="1:13" s="25" customFormat="1" ht="21" x14ac:dyDescent="0.35">
      <c r="A22" s="24"/>
      <c r="M22" s="31"/>
    </row>
    <row r="23" spans="1:13" s="25" customFormat="1" ht="21.75" thickBot="1" x14ac:dyDescent="0.4">
      <c r="A23" s="24"/>
      <c r="B23" s="52" t="s">
        <v>8</v>
      </c>
      <c r="C23" s="52"/>
      <c r="D23" s="52"/>
      <c r="E23" s="52"/>
      <c r="F23" s="52"/>
      <c r="G23" s="52"/>
      <c r="H23" s="52"/>
      <c r="I23" s="52"/>
      <c r="J23" s="52"/>
      <c r="K23" s="52"/>
      <c r="M23" s="31"/>
    </row>
    <row r="24" spans="1:13" s="25" customFormat="1" ht="21.75" thickBot="1" x14ac:dyDescent="0.4">
      <c r="A24" s="24"/>
      <c r="B24" s="26">
        <v>2</v>
      </c>
      <c r="C24" s="49" t="str">
        <f ca="1">IF(ISBLANK(INDIRECT(ADDRESS(B24*2+2,3))),"",INDIRECT(ADDRESS(B24*2+2,3)))</f>
        <v>Зубова, Африканов</v>
      </c>
      <c r="D24" s="49"/>
      <c r="E24" s="50"/>
      <c r="F24" s="27">
        <v>13</v>
      </c>
      <c r="G24" s="28">
        <v>10</v>
      </c>
      <c r="H24" s="51" t="str">
        <f ca="1">IF(ISBLANK(INDIRECT(ADDRESS(K24*2+2,3))),"",INDIRECT(ADDRESS(K24*2+2,3)))</f>
        <v>Кайтукова, Шапкин</v>
      </c>
      <c r="I24" s="49"/>
      <c r="J24" s="49"/>
      <c r="K24" s="26">
        <v>4</v>
      </c>
      <c r="L24" s="29" t="s">
        <v>6</v>
      </c>
      <c r="M24" s="31">
        <v>1</v>
      </c>
    </row>
    <row r="25" spans="1:13" s="25" customFormat="1" ht="21.75" thickBot="1" x14ac:dyDescent="0.4">
      <c r="A25" s="24"/>
      <c r="B25" s="26">
        <v>3</v>
      </c>
      <c r="C25" s="49" t="str">
        <f ca="1">IF(ISBLANK(INDIRECT(ADDRESS(B25*2+2,3))),"",INDIRECT(ADDRESS(B25*2+2,3)))</f>
        <v>Лукьянова, Тихонов</v>
      </c>
      <c r="D25" s="49"/>
      <c r="E25" s="50"/>
      <c r="F25" s="27">
        <v>6</v>
      </c>
      <c r="G25" s="28">
        <v>12</v>
      </c>
      <c r="H25" s="51" t="str">
        <f ca="1">IF(ISBLANK(INDIRECT(ADDRESS(K25*2+2,3))),"",INDIRECT(ADDRESS(K25*2+2,3)))</f>
        <v>Хафизова, Мишин</v>
      </c>
      <c r="I25" s="49"/>
      <c r="J25" s="49"/>
      <c r="K25" s="26">
        <v>1</v>
      </c>
      <c r="L25" s="29" t="s">
        <v>6</v>
      </c>
      <c r="M25" s="31">
        <v>2</v>
      </c>
    </row>
  </sheetData>
  <mergeCells count="33">
    <mergeCell ref="L4:L5"/>
    <mergeCell ref="B1:K1"/>
    <mergeCell ref="C3:E3"/>
    <mergeCell ref="B4:B5"/>
    <mergeCell ref="C4:E5"/>
    <mergeCell ref="J4:J5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B23:K23"/>
    <mergeCell ref="C24:E24"/>
    <mergeCell ref="H24:J24"/>
    <mergeCell ref="C25:E25"/>
    <mergeCell ref="H25:J25"/>
  </mergeCells>
  <pageMargins left="0.7" right="0.7" top="0.75" bottom="0.75" header="0.3" footer="0.3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N5" sqref="N5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1:13" ht="31.5" x14ac:dyDescent="0.25">
      <c r="B1" s="71" t="s">
        <v>19</v>
      </c>
      <c r="C1" s="71"/>
      <c r="D1" s="71"/>
      <c r="E1" s="71"/>
      <c r="F1" s="71"/>
      <c r="G1" s="71"/>
      <c r="H1" s="71"/>
      <c r="I1" s="71"/>
      <c r="J1" s="71"/>
      <c r="K1" s="71"/>
    </row>
    <row r="2" spans="1:13" ht="15.75" thickBot="1" x14ac:dyDescent="0.3"/>
    <row r="3" spans="1:13" ht="15.75" thickBot="1" x14ac:dyDescent="0.3">
      <c r="B3" s="2"/>
      <c r="C3" s="72" t="s">
        <v>0</v>
      </c>
      <c r="D3" s="73"/>
      <c r="E3" s="74"/>
      <c r="F3" s="3">
        <v>1</v>
      </c>
      <c r="G3" s="3">
        <v>2</v>
      </c>
      <c r="H3" s="4">
        <v>3</v>
      </c>
      <c r="I3" s="4">
        <v>4</v>
      </c>
      <c r="J3" s="2" t="s">
        <v>1</v>
      </c>
      <c r="K3" s="3" t="s">
        <v>2</v>
      </c>
      <c r="L3" s="33" t="s">
        <v>3</v>
      </c>
    </row>
    <row r="4" spans="1:13" ht="21" x14ac:dyDescent="0.25">
      <c r="B4" s="75">
        <v>1</v>
      </c>
      <c r="C4" s="86" t="s">
        <v>60</v>
      </c>
      <c r="D4" s="87"/>
      <c r="E4" s="88"/>
      <c r="F4" s="7" t="s">
        <v>4</v>
      </c>
      <c r="G4" s="8" t="str">
        <f ca="1">INDIRECT(ADDRESS(21,6))&amp;":"&amp;INDIRECT(ADDRESS(21,7))</f>
        <v>6:5</v>
      </c>
      <c r="H4" s="8" t="str">
        <f ca="1">INDIRECT(ADDRESS(25,7))&amp;":"&amp;INDIRECT(ADDRESS(25,6))</f>
        <v>5:13</v>
      </c>
      <c r="I4" s="9" t="str">
        <f ca="1">INDIRECT(ADDRESS(16,6))&amp;":"&amp;INDIRECT(ADDRESS(16,7))</f>
        <v>7:9</v>
      </c>
      <c r="J4" s="85">
        <f ca="1">IF(COUNT(F5:I5)=0,"",COUNTIF(F5:I5,"&gt;0")+0.5*COUNTIF(F5:I5,0))</f>
        <v>1</v>
      </c>
      <c r="K4" s="10">
        <v>-7</v>
      </c>
      <c r="L4" s="84">
        <v>4</v>
      </c>
    </row>
    <row r="5" spans="1:13" ht="21" x14ac:dyDescent="0.25">
      <c r="B5" s="65"/>
      <c r="C5" s="55"/>
      <c r="D5" s="56"/>
      <c r="E5" s="57"/>
      <c r="F5" s="11" t="s">
        <v>4</v>
      </c>
      <c r="G5" s="12">
        <f ca="1">IF(LEN(INDIRECT(ADDRESS(ROW()-1, COLUMN())))=1,"",INDIRECT(ADDRESS(21,6))-INDIRECT(ADDRESS(21,7)))</f>
        <v>1</v>
      </c>
      <c r="H5" s="12">
        <f ca="1">IF(LEN(INDIRECT(ADDRESS(ROW()-1, COLUMN())))=1,"",INDIRECT(ADDRESS(25,7))-INDIRECT(ADDRESS(25,6)))</f>
        <v>-8</v>
      </c>
      <c r="I5" s="13">
        <f ca="1">IF(LEN(INDIRECT(ADDRESS(ROW()-1, COLUMN())))=1,"",INDIRECT(ADDRESS(16,6))-INDIRECT(ADDRESS(16,7)))</f>
        <v>-2</v>
      </c>
      <c r="J5" s="81"/>
      <c r="K5" s="12">
        <f ca="1">IF(COUNT(F5:I5)=0,"",SUM(F5:I5))</f>
        <v>-9</v>
      </c>
      <c r="L5" s="80"/>
    </row>
    <row r="6" spans="1:13" ht="21" x14ac:dyDescent="0.25">
      <c r="B6" s="53">
        <v>2</v>
      </c>
      <c r="C6" s="67" t="s">
        <v>47</v>
      </c>
      <c r="D6" s="68"/>
      <c r="E6" s="69"/>
      <c r="F6" s="14" t="str">
        <f ca="1">INDIRECT(ADDRESS(21,7))&amp;":"&amp;INDIRECT(ADDRESS(21,6))</f>
        <v>5:6</v>
      </c>
      <c r="G6" s="15" t="s">
        <v>4</v>
      </c>
      <c r="H6" s="16" t="str">
        <f ca="1">INDIRECT(ADDRESS(17,6))&amp;":"&amp;INDIRECT(ADDRESS(17,7))</f>
        <v>13:8</v>
      </c>
      <c r="I6" s="17" t="str">
        <f ca="1">INDIRECT(ADDRESS(24,6))&amp;":"&amp;INDIRECT(ADDRESS(24,7))</f>
        <v>3:13</v>
      </c>
      <c r="J6" s="81">
        <f ca="1">IF(COUNT(F7:I7)=0,"",COUNTIF(F7:I7,"&gt;0")+0.5*COUNTIF(F7:I7,0))</f>
        <v>1</v>
      </c>
      <c r="K6" s="12">
        <v>4</v>
      </c>
      <c r="L6" s="80">
        <v>2</v>
      </c>
    </row>
    <row r="7" spans="1:13" ht="21" x14ac:dyDescent="0.25">
      <c r="B7" s="65"/>
      <c r="C7" s="67"/>
      <c r="D7" s="68"/>
      <c r="E7" s="69"/>
      <c r="F7" s="18">
        <f ca="1">IF(LEN(INDIRECT(ADDRESS(ROW()-1, COLUMN())))=1,"",INDIRECT(ADDRESS(21,7))-INDIRECT(ADDRESS(21,6)))</f>
        <v>-1</v>
      </c>
      <c r="G7" s="19" t="s">
        <v>4</v>
      </c>
      <c r="H7" s="12">
        <f ca="1">IF(LEN(INDIRECT(ADDRESS(ROW()-1, COLUMN())))=1,"",INDIRECT(ADDRESS(17,6))-INDIRECT(ADDRESS(17,7)))</f>
        <v>5</v>
      </c>
      <c r="I7" s="13">
        <f ca="1">IF(LEN(INDIRECT(ADDRESS(ROW()-1, COLUMN())))=1,"",INDIRECT(ADDRESS(24,6))-INDIRECT(ADDRESS(24,7)))</f>
        <v>-10</v>
      </c>
      <c r="J7" s="81"/>
      <c r="K7" s="12">
        <f ca="1">IF(COUNT(F7:I7)=0,"",SUM(F7:I7))</f>
        <v>-6</v>
      </c>
      <c r="L7" s="80"/>
    </row>
    <row r="8" spans="1:13" ht="21" x14ac:dyDescent="0.25">
      <c r="B8" s="53">
        <v>3</v>
      </c>
      <c r="C8" s="55" t="s">
        <v>52</v>
      </c>
      <c r="D8" s="56"/>
      <c r="E8" s="57"/>
      <c r="F8" s="14" t="str">
        <f ca="1">INDIRECT(ADDRESS(25,6))&amp;":"&amp;INDIRECT(ADDRESS(25,7))</f>
        <v>13:5</v>
      </c>
      <c r="G8" s="16" t="str">
        <f ca="1">INDIRECT(ADDRESS(17,7))&amp;":"&amp;INDIRECT(ADDRESS(17,6))</f>
        <v>8:13</v>
      </c>
      <c r="H8" s="15" t="s">
        <v>4</v>
      </c>
      <c r="I8" s="17" t="str">
        <f ca="1">INDIRECT(ADDRESS(20,7))&amp;":"&amp;INDIRECT(ADDRESS(20,6))</f>
        <v>6:13</v>
      </c>
      <c r="J8" s="81">
        <f ca="1">IF(COUNT(F9:I9)=0,"",COUNTIF(F9:I9,"&gt;0")+0.5*COUNTIF(F9:I9,0))</f>
        <v>1</v>
      </c>
      <c r="K8" s="12">
        <v>3</v>
      </c>
      <c r="L8" s="80">
        <v>3</v>
      </c>
    </row>
    <row r="9" spans="1:13" ht="21" x14ac:dyDescent="0.25">
      <c r="B9" s="65"/>
      <c r="C9" s="55"/>
      <c r="D9" s="56"/>
      <c r="E9" s="57"/>
      <c r="F9" s="18">
        <f ca="1">IF(LEN(INDIRECT(ADDRESS(ROW()-1, COLUMN())))=1,"",INDIRECT(ADDRESS(25,6))-INDIRECT(ADDRESS(25,7)))</f>
        <v>8</v>
      </c>
      <c r="G9" s="12">
        <f ca="1">IF(LEN(INDIRECT(ADDRESS(ROW()-1, COLUMN())))=1,"",INDIRECT(ADDRESS(17,7))-INDIRECT(ADDRESS(17,6)))</f>
        <v>-5</v>
      </c>
      <c r="H9" s="19" t="s">
        <v>4</v>
      </c>
      <c r="I9" s="13">
        <f ca="1">IF(LEN(INDIRECT(ADDRESS(ROW()-1, COLUMN())))=1,"",INDIRECT(ADDRESS(20,7))-INDIRECT(ADDRESS(20,6)))</f>
        <v>-7</v>
      </c>
      <c r="J9" s="81"/>
      <c r="K9" s="12">
        <f ca="1">IF(COUNT(F9:I9)=0,"",SUM(F9:I9))</f>
        <v>-4</v>
      </c>
      <c r="L9" s="80"/>
    </row>
    <row r="10" spans="1:13" ht="21" x14ac:dyDescent="0.25">
      <c r="B10" s="53">
        <v>4</v>
      </c>
      <c r="C10" s="67" t="s">
        <v>30</v>
      </c>
      <c r="D10" s="68"/>
      <c r="E10" s="69"/>
      <c r="F10" s="14" t="str">
        <f ca="1">INDIRECT(ADDRESS(16,7))&amp;":"&amp;INDIRECT(ADDRESS(16,6))</f>
        <v>9:7</v>
      </c>
      <c r="G10" s="16" t="str">
        <f ca="1">INDIRECT(ADDRESS(24,7))&amp;":"&amp;INDIRECT(ADDRESS(24,6))</f>
        <v>13:3</v>
      </c>
      <c r="H10" s="16" t="str">
        <f ca="1">INDIRECT(ADDRESS(20,6))&amp;":"&amp;INDIRECT(ADDRESS(20,7))</f>
        <v>13:6</v>
      </c>
      <c r="I10" s="20" t="s">
        <v>4</v>
      </c>
      <c r="J10" s="81">
        <f ca="1">IF(COUNT(F11:I11)=0,"",COUNTIF(F11:I11,"&gt;0")+0.5*COUNTIF(F11:I11,0))</f>
        <v>3</v>
      </c>
      <c r="K10" s="12"/>
      <c r="L10" s="80">
        <v>1</v>
      </c>
    </row>
    <row r="11" spans="1:13" ht="21.75" thickBot="1" x14ac:dyDescent="0.3">
      <c r="B11" s="54"/>
      <c r="C11" s="89"/>
      <c r="D11" s="90"/>
      <c r="E11" s="91"/>
      <c r="F11" s="21">
        <f ca="1">IF(LEN(INDIRECT(ADDRESS(ROW()-1, COLUMN())))=1,"",INDIRECT(ADDRESS(16,7))-INDIRECT(ADDRESS(16,6)))</f>
        <v>2</v>
      </c>
      <c r="G11" s="22">
        <f ca="1">IF(LEN(INDIRECT(ADDRESS(ROW()-1, COLUMN())))=1,"",INDIRECT(ADDRESS(24,7))-INDIRECT(ADDRESS(24,6)))</f>
        <v>10</v>
      </c>
      <c r="H11" s="22">
        <f ca="1">IF(LEN(INDIRECT(ADDRESS(ROW()-1, COLUMN())))=1,"",INDIRECT(ADDRESS(20,6))-INDIRECT(ADDRESS(20,7)))</f>
        <v>7</v>
      </c>
      <c r="I11" s="23" t="s">
        <v>4</v>
      </c>
      <c r="J11" s="82"/>
      <c r="K11" s="22">
        <f ca="1">IF(COUNT(F11:I11)=0,"",SUM(F11:I11))</f>
        <v>19</v>
      </c>
      <c r="L11" s="83"/>
    </row>
    <row r="15" spans="1:13" s="25" customFormat="1" ht="21.75" thickBot="1" x14ac:dyDescent="0.4">
      <c r="A15" s="24"/>
      <c r="B15" s="52" t="s">
        <v>5</v>
      </c>
      <c r="C15" s="52"/>
      <c r="D15" s="52"/>
      <c r="E15" s="52"/>
      <c r="F15" s="52"/>
      <c r="G15" s="52"/>
      <c r="H15" s="52"/>
      <c r="I15" s="52"/>
      <c r="J15" s="52"/>
      <c r="K15" s="52"/>
      <c r="M15" s="36"/>
    </row>
    <row r="16" spans="1:13" s="25" customFormat="1" ht="21.75" thickBot="1" x14ac:dyDescent="0.4">
      <c r="A16" s="24"/>
      <c r="B16" s="26">
        <v>1</v>
      </c>
      <c r="C16" s="49" t="str">
        <f ca="1">IF(ISBLANK(INDIRECT(ADDRESS(B16*2+2,3))),"",INDIRECT(ADDRESS(B16*2+2,3)))</f>
        <v>Поляковы</v>
      </c>
      <c r="D16" s="49"/>
      <c r="E16" s="50"/>
      <c r="F16" s="27">
        <v>7</v>
      </c>
      <c r="G16" s="28">
        <v>9</v>
      </c>
      <c r="H16" s="51" t="str">
        <f ca="1">IF(ISBLANK(INDIRECT(ADDRESS(K16*2+2,3))),"",INDIRECT(ADDRESS(K16*2+2,3)))</f>
        <v>Артюхина, Гулинин</v>
      </c>
      <c r="I16" s="49"/>
      <c r="J16" s="49"/>
      <c r="K16" s="26">
        <v>4</v>
      </c>
      <c r="L16" s="29" t="s">
        <v>6</v>
      </c>
      <c r="M16" s="31">
        <v>7</v>
      </c>
    </row>
    <row r="17" spans="1:13" s="25" customFormat="1" ht="21.75" thickBot="1" x14ac:dyDescent="0.4">
      <c r="A17" s="24"/>
      <c r="B17" s="26">
        <v>2</v>
      </c>
      <c r="C17" s="49" t="str">
        <f ca="1">IF(ISBLANK(INDIRECT(ADDRESS(B17*2+2,3))),"",INDIRECT(ADDRESS(B17*2+2,3)))</f>
        <v>Мурашова, Жака</v>
      </c>
      <c r="D17" s="49"/>
      <c r="E17" s="50"/>
      <c r="F17" s="27">
        <v>13</v>
      </c>
      <c r="G17" s="28">
        <v>8</v>
      </c>
      <c r="H17" s="51" t="str">
        <f ca="1">IF(ISBLANK(INDIRECT(ADDRESS(K17*2+2,3))),"",INDIRECT(ADDRESS(K17*2+2,3)))</f>
        <v>Баринова, Банщиков</v>
      </c>
      <c r="I17" s="49"/>
      <c r="J17" s="49"/>
      <c r="K17" s="26">
        <v>3</v>
      </c>
      <c r="L17" s="29" t="s">
        <v>6</v>
      </c>
      <c r="M17" s="31">
        <v>8</v>
      </c>
    </row>
    <row r="18" spans="1:13" s="25" customFormat="1" ht="21" x14ac:dyDescent="0.35">
      <c r="A18" s="24"/>
      <c r="M18" s="31"/>
    </row>
    <row r="19" spans="1:13" s="25" customFormat="1" ht="21.75" thickBot="1" x14ac:dyDescent="0.4">
      <c r="A19" s="24"/>
      <c r="B19" s="52" t="s">
        <v>7</v>
      </c>
      <c r="C19" s="52"/>
      <c r="D19" s="52"/>
      <c r="E19" s="52"/>
      <c r="F19" s="52"/>
      <c r="G19" s="52"/>
      <c r="H19" s="52"/>
      <c r="I19" s="52"/>
      <c r="J19" s="52"/>
      <c r="K19" s="52"/>
      <c r="M19" s="31"/>
    </row>
    <row r="20" spans="1:13" s="25" customFormat="1" ht="21.75" thickBot="1" x14ac:dyDescent="0.4">
      <c r="A20" s="24"/>
      <c r="B20" s="26">
        <v>4</v>
      </c>
      <c r="C20" s="49" t="str">
        <f ca="1">IF(ISBLANK(INDIRECT(ADDRESS(B20*2+2,3))),"",INDIRECT(ADDRESS(B20*2+2,3)))</f>
        <v>Артюхина, Гулинин</v>
      </c>
      <c r="D20" s="49"/>
      <c r="E20" s="50"/>
      <c r="F20" s="27">
        <v>13</v>
      </c>
      <c r="G20" s="28">
        <v>6</v>
      </c>
      <c r="H20" s="51" t="str">
        <f ca="1">IF(ISBLANK(INDIRECT(ADDRESS(K20*2+2,3))),"",INDIRECT(ADDRESS(K20*2+2,3)))</f>
        <v>Баринова, Банщиков</v>
      </c>
      <c r="I20" s="49"/>
      <c r="J20" s="49"/>
      <c r="K20" s="26">
        <v>3</v>
      </c>
      <c r="L20" s="29" t="s">
        <v>6</v>
      </c>
      <c r="M20" s="31">
        <v>1</v>
      </c>
    </row>
    <row r="21" spans="1:13" s="25" customFormat="1" ht="21.75" thickBot="1" x14ac:dyDescent="0.4">
      <c r="A21" s="24"/>
      <c r="B21" s="26">
        <v>1</v>
      </c>
      <c r="C21" s="49" t="str">
        <f ca="1">IF(ISBLANK(INDIRECT(ADDRESS(B21*2+2,3))),"",INDIRECT(ADDRESS(B21*2+2,3)))</f>
        <v>Поляковы</v>
      </c>
      <c r="D21" s="49"/>
      <c r="E21" s="50"/>
      <c r="F21" s="27">
        <v>6</v>
      </c>
      <c r="G21" s="28">
        <v>5</v>
      </c>
      <c r="H21" s="51" t="str">
        <f ca="1">IF(ISBLANK(INDIRECT(ADDRESS(K21*2+2,3))),"",INDIRECT(ADDRESS(K21*2+2,3)))</f>
        <v>Мурашова, Жака</v>
      </c>
      <c r="I21" s="49"/>
      <c r="J21" s="49"/>
      <c r="K21" s="26">
        <v>2</v>
      </c>
      <c r="L21" s="29" t="s">
        <v>6</v>
      </c>
      <c r="M21" s="31">
        <v>2</v>
      </c>
    </row>
    <row r="22" spans="1:13" s="25" customFormat="1" ht="21" x14ac:dyDescent="0.35">
      <c r="A22" s="24"/>
      <c r="M22" s="31"/>
    </row>
    <row r="23" spans="1:13" s="25" customFormat="1" ht="21.75" thickBot="1" x14ac:dyDescent="0.4">
      <c r="A23" s="24"/>
      <c r="B23" s="52" t="s">
        <v>8</v>
      </c>
      <c r="C23" s="52"/>
      <c r="D23" s="52"/>
      <c r="E23" s="52"/>
      <c r="F23" s="52"/>
      <c r="G23" s="52"/>
      <c r="H23" s="52"/>
      <c r="I23" s="52"/>
      <c r="J23" s="52"/>
      <c r="K23" s="52"/>
      <c r="M23" s="31"/>
    </row>
    <row r="24" spans="1:13" s="25" customFormat="1" ht="21.75" thickBot="1" x14ac:dyDescent="0.4">
      <c r="A24" s="24"/>
      <c r="B24" s="26">
        <v>2</v>
      </c>
      <c r="C24" s="49" t="str">
        <f ca="1">IF(ISBLANK(INDIRECT(ADDRESS(B24*2+2,3))),"",INDIRECT(ADDRESS(B24*2+2,3)))</f>
        <v>Мурашова, Жака</v>
      </c>
      <c r="D24" s="49"/>
      <c r="E24" s="50"/>
      <c r="F24" s="27">
        <v>3</v>
      </c>
      <c r="G24" s="28">
        <v>13</v>
      </c>
      <c r="H24" s="51" t="str">
        <f ca="1">IF(ISBLANK(INDIRECT(ADDRESS(K24*2+2,3))),"",INDIRECT(ADDRESS(K24*2+2,3)))</f>
        <v>Артюхина, Гулинин</v>
      </c>
      <c r="I24" s="49"/>
      <c r="J24" s="49"/>
      <c r="K24" s="26">
        <v>4</v>
      </c>
      <c r="L24" s="29" t="s">
        <v>6</v>
      </c>
      <c r="M24" s="31">
        <v>3</v>
      </c>
    </row>
    <row r="25" spans="1:13" s="25" customFormat="1" ht="21.75" thickBot="1" x14ac:dyDescent="0.4">
      <c r="A25" s="24"/>
      <c r="B25" s="26">
        <v>3</v>
      </c>
      <c r="C25" s="49" t="str">
        <f ca="1">IF(ISBLANK(INDIRECT(ADDRESS(B25*2+2,3))),"",INDIRECT(ADDRESS(B25*2+2,3)))</f>
        <v>Баринова, Банщиков</v>
      </c>
      <c r="D25" s="49"/>
      <c r="E25" s="50"/>
      <c r="F25" s="27">
        <v>13</v>
      </c>
      <c r="G25" s="28">
        <v>5</v>
      </c>
      <c r="H25" s="51" t="str">
        <f ca="1">IF(ISBLANK(INDIRECT(ADDRESS(K25*2+2,3))),"",INDIRECT(ADDRESS(K25*2+2,3)))</f>
        <v>Поляковы</v>
      </c>
      <c r="I25" s="49"/>
      <c r="J25" s="49"/>
      <c r="K25" s="26">
        <v>1</v>
      </c>
      <c r="L25" s="29" t="s">
        <v>6</v>
      </c>
      <c r="M25" s="31">
        <v>4</v>
      </c>
    </row>
  </sheetData>
  <mergeCells count="33">
    <mergeCell ref="L4:L5"/>
    <mergeCell ref="B1:K1"/>
    <mergeCell ref="C3:E3"/>
    <mergeCell ref="B4:B5"/>
    <mergeCell ref="C4:E5"/>
    <mergeCell ref="J4:J5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B23:K23"/>
    <mergeCell ref="C24:E24"/>
    <mergeCell ref="H24:J24"/>
    <mergeCell ref="C25:E25"/>
    <mergeCell ref="H25:J25"/>
  </mergeCell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selection activeCell="O24" sqref="O24"/>
    </sheetView>
  </sheetViews>
  <sheetFormatPr defaultRowHeight="15" x14ac:dyDescent="0.25"/>
  <cols>
    <col min="1" max="1" width="9.140625" style="1"/>
    <col min="2" max="15" width="9.140625" style="37" customWidth="1"/>
    <col min="16" max="16384" width="9.140625" style="37"/>
  </cols>
  <sheetData>
    <row r="1" spans="1:13" ht="41.25" customHeight="1" x14ac:dyDescent="0.25">
      <c r="B1" s="96" t="s">
        <v>20</v>
      </c>
      <c r="C1" s="96"/>
      <c r="D1" s="96"/>
      <c r="E1" s="96"/>
      <c r="F1" s="96"/>
      <c r="G1" s="96"/>
      <c r="H1" s="96"/>
      <c r="I1" s="96"/>
      <c r="J1" s="96"/>
      <c r="K1" s="96"/>
    </row>
    <row r="2" spans="1:13" ht="15" customHeight="1" x14ac:dyDescent="0.25">
      <c r="C2" s="38"/>
    </row>
    <row r="3" spans="1:13" ht="15" customHeight="1" x14ac:dyDescent="0.25">
      <c r="C3" s="38"/>
    </row>
    <row r="4" spans="1:13" ht="18.75" x14ac:dyDescent="0.25">
      <c r="A4" s="1" t="s">
        <v>24</v>
      </c>
      <c r="B4" s="93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Крошиловы</v>
      </c>
      <c r="C4" s="94"/>
      <c r="D4" s="39">
        <v>12</v>
      </c>
      <c r="E4" s="40"/>
    </row>
    <row r="5" spans="1:13" ht="15" customHeight="1" x14ac:dyDescent="0.25">
      <c r="A5" s="1">
        <v>1</v>
      </c>
      <c r="C5" s="38"/>
      <c r="E5" s="41"/>
    </row>
    <row r="6" spans="1:13" ht="12.75" customHeight="1" x14ac:dyDescent="0.25">
      <c r="B6" s="42" t="s">
        <v>6</v>
      </c>
      <c r="C6" s="38">
        <v>1</v>
      </c>
      <c r="E6" s="43"/>
      <c r="F6" s="92" t="str">
        <f ca="1">IF(ISBLANK(D4),"",IF(D4&gt;D8,B4,B8))</f>
        <v>Петрушко</v>
      </c>
      <c r="G6" s="94"/>
      <c r="H6" s="39">
        <v>5</v>
      </c>
      <c r="I6" s="40"/>
    </row>
    <row r="7" spans="1:13" ht="15" customHeight="1" x14ac:dyDescent="0.25">
      <c r="C7" s="38"/>
      <c r="E7" s="43"/>
      <c r="I7" s="41"/>
    </row>
    <row r="8" spans="1:13" ht="18.75" x14ac:dyDescent="0.25">
      <c r="A8" s="1" t="s">
        <v>25</v>
      </c>
      <c r="B8" s="93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Петрушко</v>
      </c>
      <c r="C8" s="94"/>
      <c r="D8" s="39">
        <v>13</v>
      </c>
      <c r="E8" s="44"/>
      <c r="I8" s="43"/>
    </row>
    <row r="9" spans="1:13" ht="15" customHeight="1" x14ac:dyDescent="0.25">
      <c r="A9" s="1">
        <v>2</v>
      </c>
      <c r="C9" s="38"/>
      <c r="I9" s="43"/>
    </row>
    <row r="10" spans="1:13" ht="16.5" customHeight="1" x14ac:dyDescent="0.25">
      <c r="C10" s="38"/>
      <c r="G10" s="42" t="s">
        <v>6</v>
      </c>
      <c r="H10" s="38" t="s">
        <v>22</v>
      </c>
      <c r="I10" s="43"/>
      <c r="J10" s="92" t="str">
        <f ca="1">IF(ISBLANK(H6),"",IF(H6&gt;H14,F6,F14))</f>
        <v>Мурашова, Жака</v>
      </c>
      <c r="K10" s="93"/>
      <c r="L10" s="39">
        <v>13</v>
      </c>
      <c r="M10" s="40"/>
    </row>
    <row r="11" spans="1:13" ht="15" customHeight="1" x14ac:dyDescent="0.25">
      <c r="C11" s="38"/>
      <c r="I11" s="43"/>
      <c r="M11" s="41"/>
    </row>
    <row r="12" spans="1:13" ht="18.75" x14ac:dyDescent="0.25">
      <c r="A12" s="1" t="s">
        <v>26</v>
      </c>
      <c r="B12" s="93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Зубова, Африканов</v>
      </c>
      <c r="C12" s="94"/>
      <c r="D12" s="39">
        <v>6</v>
      </c>
      <c r="E12" s="40"/>
      <c r="I12" s="43"/>
      <c r="M12" s="43"/>
    </row>
    <row r="13" spans="1:13" ht="15" customHeight="1" x14ac:dyDescent="0.25">
      <c r="A13" s="1">
        <v>1</v>
      </c>
      <c r="C13" s="38"/>
      <c r="E13" s="41"/>
      <c r="I13" s="43"/>
      <c r="M13" s="43"/>
    </row>
    <row r="14" spans="1:13" ht="18.75" x14ac:dyDescent="0.25">
      <c r="B14" s="42" t="s">
        <v>6</v>
      </c>
      <c r="C14" s="38">
        <v>2</v>
      </c>
      <c r="E14" s="43"/>
      <c r="F14" s="92" t="str">
        <f ca="1">IF(ISBLANK(D12),"",IF(D12&gt;D16,B12,B16))</f>
        <v>Мурашова, Жака</v>
      </c>
      <c r="G14" s="94"/>
      <c r="H14" s="39">
        <v>13</v>
      </c>
      <c r="I14" s="44"/>
      <c r="M14" s="43"/>
    </row>
    <row r="15" spans="1:13" ht="15" customHeight="1" x14ac:dyDescent="0.25">
      <c r="E15" s="43"/>
      <c r="M15" s="43"/>
    </row>
    <row r="16" spans="1:13" ht="18.75" x14ac:dyDescent="0.25">
      <c r="A16" s="1" t="s">
        <v>27</v>
      </c>
      <c r="B16" s="93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Мурашова, Жака</v>
      </c>
      <c r="C16" s="94"/>
      <c r="D16" s="39">
        <v>13</v>
      </c>
      <c r="E16" s="44"/>
      <c r="M16" s="43"/>
    </row>
    <row r="17" spans="1:15" ht="15" customHeight="1" x14ac:dyDescent="0.25">
      <c r="A17" s="1">
        <v>2</v>
      </c>
      <c r="M17" s="43"/>
    </row>
    <row r="18" spans="1:15" ht="18.75" x14ac:dyDescent="0.25">
      <c r="B18" s="42"/>
      <c r="K18" s="42" t="s">
        <v>6</v>
      </c>
      <c r="L18" s="38" t="s">
        <v>22</v>
      </c>
      <c r="M18" s="43"/>
      <c r="N18" s="92" t="str">
        <f ca="1">IF(ISBLANK(L10),"",IF(L10&gt;L26,J10,J26))</f>
        <v>Мурашова, Жака</v>
      </c>
      <c r="O18" s="93"/>
    </row>
    <row r="19" spans="1:15" ht="15" customHeight="1" x14ac:dyDescent="0.25">
      <c r="M19" s="43"/>
    </row>
    <row r="20" spans="1:15" ht="18.75" x14ac:dyDescent="0.25">
      <c r="A20" s="1" t="s">
        <v>27</v>
      </c>
      <c r="B20" s="93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Артюхина, Гулинин</v>
      </c>
      <c r="C20" s="94"/>
      <c r="D20" s="39">
        <v>13</v>
      </c>
      <c r="E20" s="40"/>
      <c r="M20" s="43"/>
    </row>
    <row r="21" spans="1:15" ht="15" customHeight="1" x14ac:dyDescent="0.25">
      <c r="A21" s="1">
        <v>1</v>
      </c>
      <c r="E21" s="41"/>
      <c r="M21" s="43"/>
    </row>
    <row r="22" spans="1:15" ht="18.75" x14ac:dyDescent="0.25">
      <c r="B22" s="42" t="s">
        <v>6</v>
      </c>
      <c r="C22" s="38">
        <v>3</v>
      </c>
      <c r="E22" s="43"/>
      <c r="F22" s="92" t="str">
        <f ca="1">IF(ISBLANK(D20),"",IF(D20&gt;D24,B20,B24))</f>
        <v>Артюхина, Гулинин</v>
      </c>
      <c r="G22" s="94"/>
      <c r="H22" s="39">
        <v>13</v>
      </c>
      <c r="I22" s="40"/>
      <c r="M22" s="43"/>
    </row>
    <row r="23" spans="1:15" ht="15" customHeight="1" x14ac:dyDescent="0.25">
      <c r="E23" s="43"/>
      <c r="I23" s="41"/>
      <c r="M23" s="43"/>
    </row>
    <row r="24" spans="1:15" ht="18.75" x14ac:dyDescent="0.25">
      <c r="A24" s="1" t="s">
        <v>24</v>
      </c>
      <c r="B24" s="93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Соколова, Каргашин</v>
      </c>
      <c r="C24" s="94"/>
      <c r="D24" s="39">
        <v>9</v>
      </c>
      <c r="E24" s="44"/>
      <c r="I24" s="43"/>
      <c r="M24" s="43"/>
    </row>
    <row r="25" spans="1:15" ht="15" customHeight="1" x14ac:dyDescent="0.25">
      <c r="A25" s="1">
        <v>2</v>
      </c>
      <c r="I25" s="43"/>
      <c r="M25" s="43"/>
    </row>
    <row r="26" spans="1:15" ht="18.75" x14ac:dyDescent="0.25">
      <c r="G26" s="42" t="s">
        <v>6</v>
      </c>
      <c r="H26" s="38" t="s">
        <v>23</v>
      </c>
      <c r="I26" s="43"/>
      <c r="J26" s="92" t="str">
        <f ca="1">IF(ISBLANK(H22),"",IF(H22&gt;H30,F22,F30))</f>
        <v>Артюхина, Гулинин</v>
      </c>
      <c r="K26" s="94"/>
      <c r="L26" s="39">
        <v>6</v>
      </c>
      <c r="M26" s="44"/>
    </row>
    <row r="27" spans="1:15" ht="15" customHeight="1" x14ac:dyDescent="0.25">
      <c r="I27" s="43"/>
    </row>
    <row r="28" spans="1:15" ht="18.75" x14ac:dyDescent="0.25">
      <c r="A28" s="1" t="s">
        <v>25</v>
      </c>
      <c r="B28" s="93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Базарев, Павлова</v>
      </c>
      <c r="C28" s="94"/>
      <c r="D28" s="39">
        <v>9</v>
      </c>
      <c r="E28" s="40"/>
      <c r="I28" s="43"/>
    </row>
    <row r="29" spans="1:15" ht="15" customHeight="1" x14ac:dyDescent="0.25">
      <c r="A29" s="1">
        <v>1</v>
      </c>
      <c r="E29" s="41"/>
      <c r="I29" s="43"/>
    </row>
    <row r="30" spans="1:15" ht="18.75" x14ac:dyDescent="0.25">
      <c r="B30" s="42" t="s">
        <v>6</v>
      </c>
      <c r="C30" s="38">
        <v>4</v>
      </c>
      <c r="E30" s="43"/>
      <c r="F30" s="92" t="str">
        <f ca="1">IF(ISBLANK(D28),"",IF(D28&gt;D32,B28,B32))</f>
        <v>Кайтукова, Шапкин</v>
      </c>
      <c r="G30" s="94"/>
      <c r="H30" s="39">
        <v>8</v>
      </c>
      <c r="I30" s="44"/>
    </row>
    <row r="31" spans="1:15" ht="15" customHeight="1" x14ac:dyDescent="0.25">
      <c r="E31" s="43"/>
    </row>
    <row r="32" spans="1:15" ht="18.75" x14ac:dyDescent="0.25">
      <c r="A32" s="1" t="s">
        <v>26</v>
      </c>
      <c r="B32" s="93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Кайтукова, Шапкин</v>
      </c>
      <c r="C32" s="94"/>
      <c r="D32" s="39">
        <v>13</v>
      </c>
      <c r="E32" s="44"/>
    </row>
    <row r="33" spans="1:7" x14ac:dyDescent="0.25">
      <c r="A33" s="1">
        <v>2</v>
      </c>
    </row>
    <row r="36" spans="1:7" ht="18.75" x14ac:dyDescent="0.25">
      <c r="B36" s="93" t="str">
        <f ca="1">IF(ISBLANK(H6),"",IF(H6&gt;H14,F14,F6))</f>
        <v>Петрушко</v>
      </c>
      <c r="C36" s="94"/>
      <c r="D36" s="39">
        <v>13</v>
      </c>
      <c r="E36" s="40"/>
      <c r="F36" s="95"/>
      <c r="G36" s="95"/>
    </row>
    <row r="37" spans="1:7" ht="15" customHeight="1" x14ac:dyDescent="0.25">
      <c r="E37" s="41"/>
    </row>
    <row r="38" spans="1:7" ht="18.75" x14ac:dyDescent="0.25">
      <c r="C38" s="42" t="s">
        <v>6</v>
      </c>
      <c r="D38" s="37" t="s">
        <v>23</v>
      </c>
      <c r="E38" s="43"/>
      <c r="F38" s="92" t="str">
        <f ca="1">IF(ISBLANK(D36),"",IF(D36&gt;D40,B36,B40))</f>
        <v>Петрушко</v>
      </c>
      <c r="G38" s="93"/>
    </row>
    <row r="39" spans="1:7" ht="15" customHeight="1" x14ac:dyDescent="0.25">
      <c r="E39" s="43"/>
    </row>
    <row r="40" spans="1:7" ht="18.75" x14ac:dyDescent="0.25">
      <c r="B40" s="93" t="str">
        <f ca="1">IF(ISBLANK(H22),"",IF(H22&gt;H30,F30,F22))</f>
        <v>Кайтукова, Шапкин</v>
      </c>
      <c r="C40" s="94"/>
      <c r="D40" s="39">
        <v>11</v>
      </c>
      <c r="E40" s="44"/>
    </row>
  </sheetData>
  <mergeCells count="20">
    <mergeCell ref="B12:C12"/>
    <mergeCell ref="F14:G14"/>
    <mergeCell ref="B16:C16"/>
    <mergeCell ref="B1:K1"/>
    <mergeCell ref="B4:C4"/>
    <mergeCell ref="F6:G6"/>
    <mergeCell ref="B8:C8"/>
    <mergeCell ref="J10:K10"/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</mergeCells>
  <pageMargins left="0.25" right="0.25" top="0.75" bottom="0.75" header="0.3" footer="0.3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selection activeCell="H40" sqref="H40"/>
    </sheetView>
  </sheetViews>
  <sheetFormatPr defaultRowHeight="15" x14ac:dyDescent="0.25"/>
  <cols>
    <col min="1" max="1" width="9.140625" style="1"/>
    <col min="2" max="15" width="9.140625" style="37" customWidth="1"/>
    <col min="16" max="16384" width="9.140625" style="37"/>
  </cols>
  <sheetData>
    <row r="1" spans="1:13" ht="46.5" x14ac:dyDescent="0.25">
      <c r="B1" s="96" t="s">
        <v>21</v>
      </c>
      <c r="C1" s="96"/>
      <c r="D1" s="96"/>
      <c r="E1" s="96"/>
      <c r="F1" s="96"/>
      <c r="G1" s="96"/>
      <c r="H1" s="96"/>
      <c r="I1" s="96"/>
      <c r="J1" s="96"/>
      <c r="K1" s="96"/>
    </row>
    <row r="2" spans="1:13" ht="15" customHeight="1" x14ac:dyDescent="0.25">
      <c r="C2" s="38"/>
    </row>
    <row r="3" spans="1:13" ht="15" customHeight="1" x14ac:dyDescent="0.25">
      <c r="C3" s="38"/>
    </row>
    <row r="4" spans="1:13" ht="18.75" x14ac:dyDescent="0.25">
      <c r="A4" s="1" t="s">
        <v>24</v>
      </c>
      <c r="B4" s="93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Коргунова, Энжольрас</v>
      </c>
      <c r="C4" s="94"/>
      <c r="D4" s="39">
        <v>8</v>
      </c>
      <c r="E4" s="40"/>
    </row>
    <row r="5" spans="1:13" ht="15" customHeight="1" x14ac:dyDescent="0.25">
      <c r="A5" s="1">
        <v>3</v>
      </c>
      <c r="C5" s="38"/>
      <c r="E5" s="41"/>
    </row>
    <row r="6" spans="1:13" ht="18.75" x14ac:dyDescent="0.25">
      <c r="B6" s="42" t="s">
        <v>6</v>
      </c>
      <c r="C6" s="38">
        <v>5</v>
      </c>
      <c r="E6" s="43"/>
      <c r="F6" s="92" t="str">
        <f ca="1">IF(ISBLANK(D4),"",IF(D4&gt;D8,B4,B8))</f>
        <v>Тюрина, Кравцов</v>
      </c>
      <c r="G6" s="94"/>
      <c r="H6" s="39">
        <v>1</v>
      </c>
      <c r="I6" s="40"/>
    </row>
    <row r="7" spans="1:13" ht="15" customHeight="1" x14ac:dyDescent="0.25">
      <c r="C7" s="38"/>
      <c r="E7" s="43"/>
      <c r="I7" s="41"/>
    </row>
    <row r="8" spans="1:13" ht="18.75" x14ac:dyDescent="0.25">
      <c r="A8" s="1" t="s">
        <v>25</v>
      </c>
      <c r="B8" s="93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Тюрина, Кравцов</v>
      </c>
      <c r="C8" s="94"/>
      <c r="D8" s="39">
        <v>13</v>
      </c>
      <c r="E8" s="44"/>
      <c r="I8" s="43"/>
    </row>
    <row r="9" spans="1:13" ht="15" customHeight="1" x14ac:dyDescent="0.25">
      <c r="A9" s="1">
        <v>4</v>
      </c>
      <c r="C9" s="38"/>
      <c r="I9" s="43"/>
    </row>
    <row r="10" spans="1:13" ht="18.75" x14ac:dyDescent="0.25">
      <c r="C10" s="38"/>
      <c r="G10" s="42" t="s">
        <v>6</v>
      </c>
      <c r="H10" s="38"/>
      <c r="I10" s="43"/>
      <c r="J10" s="92" t="str">
        <f ca="1">IF(ISBLANK(H6),"",IF(H6&gt;H14,F6,F14))</f>
        <v>Хафизова, Мишин</v>
      </c>
      <c r="K10" s="93"/>
      <c r="L10" s="39">
        <v>13</v>
      </c>
      <c r="M10" s="40"/>
    </row>
    <row r="11" spans="1:13" ht="15" customHeight="1" x14ac:dyDescent="0.25">
      <c r="C11" s="38"/>
      <c r="I11" s="43"/>
      <c r="M11" s="41"/>
    </row>
    <row r="12" spans="1:13" ht="18.75" x14ac:dyDescent="0.25">
      <c r="A12" s="1" t="s">
        <v>26</v>
      </c>
      <c r="B12" s="93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Хафизова, Мишин</v>
      </c>
      <c r="C12" s="94"/>
      <c r="D12" s="39">
        <v>10</v>
      </c>
      <c r="E12" s="40"/>
      <c r="I12" s="43"/>
      <c r="M12" s="43"/>
    </row>
    <row r="13" spans="1:13" ht="15" customHeight="1" x14ac:dyDescent="0.25">
      <c r="A13" s="1">
        <v>3</v>
      </c>
      <c r="C13" s="38"/>
      <c r="E13" s="41"/>
      <c r="I13" s="43"/>
      <c r="M13" s="43"/>
    </row>
    <row r="14" spans="1:13" ht="18.75" x14ac:dyDescent="0.25">
      <c r="B14" s="42" t="s">
        <v>6</v>
      </c>
      <c r="C14" s="38">
        <v>6</v>
      </c>
      <c r="E14" s="43"/>
      <c r="F14" s="92" t="str">
        <f ca="1">IF(ISBLANK(D12),"",IF(D12&gt;D16,B12,B16))</f>
        <v>Хафизова, Мишин</v>
      </c>
      <c r="G14" s="94"/>
      <c r="H14" s="39">
        <v>13</v>
      </c>
      <c r="I14" s="44"/>
      <c r="M14" s="43"/>
    </row>
    <row r="15" spans="1:13" ht="15" customHeight="1" x14ac:dyDescent="0.25">
      <c r="E15" s="43"/>
      <c r="M15" s="43"/>
    </row>
    <row r="16" spans="1:13" ht="18.75" x14ac:dyDescent="0.25">
      <c r="A16" s="1" t="s">
        <v>27</v>
      </c>
      <c r="B16" s="93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Поляковы</v>
      </c>
      <c r="C16" s="94"/>
      <c r="D16" s="39">
        <v>7</v>
      </c>
      <c r="E16" s="44"/>
      <c r="M16" s="43"/>
    </row>
    <row r="17" spans="1:15" ht="15" customHeight="1" x14ac:dyDescent="0.25">
      <c r="A17" s="1">
        <v>4</v>
      </c>
      <c r="M17" s="43"/>
    </row>
    <row r="18" spans="1:15" ht="18.75" x14ac:dyDescent="0.25">
      <c r="B18" s="42"/>
      <c r="K18" s="42" t="s">
        <v>6</v>
      </c>
      <c r="L18" s="38"/>
      <c r="M18" s="43"/>
      <c r="N18" s="92" t="str">
        <f ca="1">IF(ISBLANK(L10),"",IF(L10&gt;L26,J10,J26))</f>
        <v>Хафизова, Мишин</v>
      </c>
      <c r="O18" s="93"/>
    </row>
    <row r="19" spans="1:15" ht="15" customHeight="1" x14ac:dyDescent="0.25">
      <c r="M19" s="43"/>
    </row>
    <row r="20" spans="1:15" ht="18.75" x14ac:dyDescent="0.25">
      <c r="A20" s="1" t="s">
        <v>27</v>
      </c>
      <c r="B20" s="93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Баринова, Банщиков</v>
      </c>
      <c r="C20" s="94"/>
      <c r="D20" s="39">
        <v>7</v>
      </c>
      <c r="E20" s="40"/>
      <c r="M20" s="43"/>
    </row>
    <row r="21" spans="1:15" ht="15" customHeight="1" x14ac:dyDescent="0.25">
      <c r="A21" s="1">
        <v>3</v>
      </c>
      <c r="E21" s="41"/>
      <c r="M21" s="43"/>
    </row>
    <row r="22" spans="1:15" ht="18.75" x14ac:dyDescent="0.25">
      <c r="B22" s="42" t="s">
        <v>6</v>
      </c>
      <c r="C22" s="38">
        <v>7</v>
      </c>
      <c r="E22" s="43"/>
      <c r="F22" s="92" t="str">
        <f ca="1">IF(ISBLANK(D20),"",IF(D20&gt;D24,B20,B24))</f>
        <v>Крылова, Поляков</v>
      </c>
      <c r="G22" s="94"/>
      <c r="H22" s="39">
        <v>13</v>
      </c>
      <c r="I22" s="40"/>
      <c r="M22" s="43"/>
    </row>
    <row r="23" spans="1:15" ht="15" customHeight="1" x14ac:dyDescent="0.25">
      <c r="E23" s="43"/>
      <c r="I23" s="41"/>
      <c r="M23" s="43"/>
    </row>
    <row r="24" spans="1:15" ht="18.75" x14ac:dyDescent="0.25">
      <c r="A24" s="1" t="s">
        <v>24</v>
      </c>
      <c r="B24" s="93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Крылова, Поляков</v>
      </c>
      <c r="C24" s="94"/>
      <c r="D24" s="39">
        <v>13</v>
      </c>
      <c r="E24" s="44"/>
      <c r="I24" s="43"/>
      <c r="M24" s="43"/>
    </row>
    <row r="25" spans="1:15" ht="15" customHeight="1" x14ac:dyDescent="0.25">
      <c r="A25" s="1">
        <v>4</v>
      </c>
      <c r="I25" s="43"/>
      <c r="M25" s="43"/>
    </row>
    <row r="26" spans="1:15" ht="18.75" x14ac:dyDescent="0.25">
      <c r="G26" s="42" t="s">
        <v>6</v>
      </c>
      <c r="H26" s="38"/>
      <c r="I26" s="43"/>
      <c r="J26" s="92" t="str">
        <f ca="1">IF(ISBLANK(H22),"",IF(H22&gt;H30,F22,F30))</f>
        <v>Крылова, Поляков</v>
      </c>
      <c r="K26" s="94"/>
      <c r="L26" s="39">
        <v>2</v>
      </c>
      <c r="M26" s="44"/>
    </row>
    <row r="27" spans="1:15" ht="15" customHeight="1" x14ac:dyDescent="0.25">
      <c r="I27" s="43"/>
    </row>
    <row r="28" spans="1:15" ht="18.75" x14ac:dyDescent="0.25">
      <c r="A28" s="1" t="s">
        <v>25</v>
      </c>
      <c r="B28" s="93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Дубовицкие</v>
      </c>
      <c r="C28" s="94"/>
      <c r="D28" s="39">
        <v>13</v>
      </c>
      <c r="E28" s="40"/>
      <c r="I28" s="43"/>
    </row>
    <row r="29" spans="1:15" ht="15" customHeight="1" x14ac:dyDescent="0.25">
      <c r="A29" s="1">
        <v>3</v>
      </c>
      <c r="E29" s="41"/>
      <c r="I29" s="43"/>
    </row>
    <row r="30" spans="1:15" ht="18.75" x14ac:dyDescent="0.25">
      <c r="B30" s="42" t="s">
        <v>6</v>
      </c>
      <c r="C30" s="38">
        <v>8</v>
      </c>
      <c r="E30" s="43"/>
      <c r="F30" s="92" t="str">
        <f ca="1">IF(ISBLANK(D28),"",IF(D28&gt;D32,B28,B32))</f>
        <v>Дубовицкие</v>
      </c>
      <c r="G30" s="94"/>
      <c r="H30" s="39">
        <v>9</v>
      </c>
      <c r="I30" s="44"/>
    </row>
    <row r="31" spans="1:15" ht="15" customHeight="1" x14ac:dyDescent="0.25">
      <c r="E31" s="43"/>
    </row>
    <row r="32" spans="1:15" ht="18.75" x14ac:dyDescent="0.25">
      <c r="A32" s="1" t="s">
        <v>26</v>
      </c>
      <c r="B32" s="93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Лукьянова, Тихонов</v>
      </c>
      <c r="C32" s="94"/>
      <c r="D32" s="39">
        <v>1</v>
      </c>
      <c r="E32" s="44"/>
    </row>
    <row r="33" spans="1:7" x14ac:dyDescent="0.25">
      <c r="A33" s="1">
        <v>4</v>
      </c>
    </row>
    <row r="36" spans="1:7" ht="18.75" x14ac:dyDescent="0.25">
      <c r="B36" s="93" t="str">
        <f ca="1">IF(ISBLANK(H6),"",IF(H6&gt;H14,F14,F6))</f>
        <v>Тюрина, Кравцов</v>
      </c>
      <c r="C36" s="94"/>
      <c r="D36" s="39">
        <v>13</v>
      </c>
      <c r="E36" s="40"/>
      <c r="F36" s="95"/>
      <c r="G36" s="95"/>
    </row>
    <row r="37" spans="1:7" ht="15" customHeight="1" x14ac:dyDescent="0.25">
      <c r="E37" s="41"/>
    </row>
    <row r="38" spans="1:7" ht="18.75" x14ac:dyDescent="0.25">
      <c r="C38" s="42" t="s">
        <v>6</v>
      </c>
      <c r="E38" s="43"/>
      <c r="F38" s="92" t="str">
        <f ca="1">IF(ISBLANK(D36),"",IF(D36&gt;D40,B36,B40))</f>
        <v>Тюрина, Кравцов</v>
      </c>
      <c r="G38" s="93"/>
    </row>
    <row r="39" spans="1:7" ht="15" customHeight="1" x14ac:dyDescent="0.25">
      <c r="E39" s="43"/>
    </row>
    <row r="40" spans="1:7" ht="18.75" x14ac:dyDescent="0.25">
      <c r="B40" s="93" t="str">
        <f ca="1">IF(ISBLANK(H22),"",IF(H22&gt;H30,F30,F22))</f>
        <v>Дубовицкие</v>
      </c>
      <c r="C40" s="94"/>
      <c r="D40" s="39">
        <v>7</v>
      </c>
      <c r="E40" s="44"/>
    </row>
  </sheetData>
  <mergeCells count="20">
    <mergeCell ref="B12:C12"/>
    <mergeCell ref="F14:G14"/>
    <mergeCell ref="B16:C16"/>
    <mergeCell ref="B1:K1"/>
    <mergeCell ref="B4:C4"/>
    <mergeCell ref="F6:G6"/>
    <mergeCell ref="B8:C8"/>
    <mergeCell ref="J10:K10"/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P8" sqref="P8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4" ht="31.5" x14ac:dyDescent="0.25">
      <c r="B1" s="71" t="s">
        <v>11</v>
      </c>
      <c r="C1" s="71"/>
      <c r="D1" s="71"/>
      <c r="E1" s="71"/>
      <c r="F1" s="71"/>
      <c r="G1" s="71"/>
      <c r="H1" s="71"/>
      <c r="I1" s="71"/>
      <c r="J1" s="71"/>
      <c r="K1" s="71"/>
      <c r="M1"/>
    </row>
    <row r="2" spans="2:14" ht="15.75" thickBot="1" x14ac:dyDescent="0.3">
      <c r="M2"/>
    </row>
    <row r="3" spans="2:14" ht="15.75" thickBot="1" x14ac:dyDescent="0.3">
      <c r="B3" s="2"/>
      <c r="C3" s="72" t="s">
        <v>0</v>
      </c>
      <c r="D3" s="73"/>
      <c r="E3" s="74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4" ht="21" x14ac:dyDescent="0.25">
      <c r="B4" s="75">
        <v>1</v>
      </c>
      <c r="C4" s="76" t="s">
        <v>29</v>
      </c>
      <c r="D4" s="77"/>
      <c r="E4" s="78"/>
      <c r="F4" s="7" t="s">
        <v>4</v>
      </c>
      <c r="G4" s="8" t="str">
        <f ca="1">INDIRECT(ADDRESS(27,6))&amp;":"&amp;INDIRECT(ADDRESS(27,7))</f>
        <v>12:10</v>
      </c>
      <c r="H4" s="8" t="str">
        <f ca="1">INDIRECT(ADDRESS(31,7))&amp;":"&amp;INDIRECT(ADDRESS(31,6))</f>
        <v>8:9</v>
      </c>
      <c r="I4" s="8" t="str">
        <f ca="1">INDIRECT(ADDRESS(36,6))&amp;":"&amp;INDIRECT(ADDRESS(36,7))</f>
        <v>13:5</v>
      </c>
      <c r="J4" s="8" t="str">
        <f ca="1">INDIRECT(ADDRESS(42,7))&amp;":"&amp;INDIRECT(ADDRESS(42,6))</f>
        <v>13:2</v>
      </c>
      <c r="K4" s="9" t="str">
        <f ca="1">INDIRECT(ADDRESS(20,6))&amp;":"&amp;INDIRECT(ADDRESS(20,7))</f>
        <v>13:2</v>
      </c>
      <c r="L4" s="79">
        <f ca="1">IF(COUNT(F5:K5)=0,"",COUNTIF(F5:K5,"&gt;0")+0.5*COUNTIF(F5:K5,0))</f>
        <v>4</v>
      </c>
      <c r="M4" s="10"/>
      <c r="N4" s="70">
        <v>2</v>
      </c>
    </row>
    <row r="5" spans="2:14" ht="21" x14ac:dyDescent="0.25">
      <c r="B5" s="65"/>
      <c r="C5" s="67"/>
      <c r="D5" s="68"/>
      <c r="E5" s="69"/>
      <c r="F5" s="11" t="s">
        <v>4</v>
      </c>
      <c r="G5" s="12">
        <f ca="1">IF(LEN(INDIRECT(ADDRESS(ROW()-1, COLUMN())))=1,"",INDIRECT(ADDRESS(27,6))-INDIRECT(ADDRESS(27,7)))</f>
        <v>2</v>
      </c>
      <c r="H5" s="12">
        <f ca="1">IF(LEN(INDIRECT(ADDRESS(ROW()-1, COLUMN())))=1,"",INDIRECT(ADDRESS(31,7))-INDIRECT(ADDRESS(31,6)))</f>
        <v>-1</v>
      </c>
      <c r="I5" s="12">
        <f ca="1">IF(LEN(INDIRECT(ADDRESS(ROW()-1, COLUMN())))=1,"",INDIRECT(ADDRESS(36,6))-INDIRECT(ADDRESS(36,7)))</f>
        <v>8</v>
      </c>
      <c r="J5" s="12">
        <f ca="1">IF(LEN(INDIRECT(ADDRESS(ROW()-1, COLUMN())))=1,"",INDIRECT(ADDRESS(42,7))-INDIRECT(ADDRESS(42,6)))</f>
        <v>11</v>
      </c>
      <c r="K5" s="13">
        <f ca="1">IF(LEN(INDIRECT(ADDRESS(ROW()-1, COLUMN())))=1,"",INDIRECT(ADDRESS(20,6))-INDIRECT(ADDRESS(20,7)))</f>
        <v>11</v>
      </c>
      <c r="L5" s="61"/>
      <c r="M5" s="12">
        <f ca="1">IF(COUNT(F5:K5)=0,"",SUM(F5:K5))</f>
        <v>31</v>
      </c>
      <c r="N5" s="66"/>
    </row>
    <row r="6" spans="2:14" ht="21" x14ac:dyDescent="0.25">
      <c r="B6" s="53">
        <v>2</v>
      </c>
      <c r="C6" s="67" t="s">
        <v>30</v>
      </c>
      <c r="D6" s="68"/>
      <c r="E6" s="69"/>
      <c r="F6" s="14" t="str">
        <f ca="1">INDIRECT(ADDRESS(27,7))&amp;":"&amp;INDIRECT(ADDRESS(27,6))</f>
        <v>10:12</v>
      </c>
      <c r="G6" s="15" t="s">
        <v>4</v>
      </c>
      <c r="H6" s="16" t="str">
        <f ca="1">INDIRECT(ADDRESS(37,6))&amp;":"&amp;INDIRECT(ADDRESS(37,7))</f>
        <v>10:13</v>
      </c>
      <c r="I6" s="16" t="str">
        <f ca="1">INDIRECT(ADDRESS(41,7))&amp;":"&amp;INDIRECT(ADDRESS(41,6))</f>
        <v>13:3</v>
      </c>
      <c r="J6" s="16" t="str">
        <f ca="1">INDIRECT(ADDRESS(21,6))&amp;":"&amp;INDIRECT(ADDRESS(21,7))</f>
        <v>12:8</v>
      </c>
      <c r="K6" s="17" t="str">
        <f ca="1">INDIRECT(ADDRESS(30,6))&amp;":"&amp;INDIRECT(ADDRESS(30,7))</f>
        <v>13:6</v>
      </c>
      <c r="L6" s="61">
        <f ca="1">IF(COUNT(F7:K7)=0,"",COUNTIF(F7:K7,"&gt;0")+0.5*COUNTIF(F7:K7,0))</f>
        <v>3</v>
      </c>
      <c r="M6" s="12"/>
      <c r="N6" s="63">
        <v>3</v>
      </c>
    </row>
    <row r="7" spans="2:14" ht="21" x14ac:dyDescent="0.25">
      <c r="B7" s="65"/>
      <c r="C7" s="67"/>
      <c r="D7" s="68"/>
      <c r="E7" s="69"/>
      <c r="F7" s="18">
        <f ca="1">IF(LEN(INDIRECT(ADDRESS(ROW()-1, COLUMN())))=1,"",INDIRECT(ADDRESS(27,7))-INDIRECT(ADDRESS(27,6)))</f>
        <v>-2</v>
      </c>
      <c r="G7" s="19" t="s">
        <v>4</v>
      </c>
      <c r="H7" s="12">
        <f ca="1">IF(LEN(INDIRECT(ADDRESS(ROW()-1, COLUMN())))=1,"",INDIRECT(ADDRESS(37,6))-INDIRECT(ADDRESS(37,7)))</f>
        <v>-3</v>
      </c>
      <c r="I7" s="12">
        <f ca="1">IF(LEN(INDIRECT(ADDRESS(ROW()-1, COLUMN())))=1,"",INDIRECT(ADDRESS(41,7))-INDIRECT(ADDRESS(41,6)))</f>
        <v>10</v>
      </c>
      <c r="J7" s="12">
        <f ca="1">IF(LEN(INDIRECT(ADDRESS(ROW()-1, COLUMN())))=1,"",INDIRECT(ADDRESS(21,6))-INDIRECT(ADDRESS(21,7)))</f>
        <v>4</v>
      </c>
      <c r="K7" s="13">
        <f ca="1">IF(LEN(INDIRECT(ADDRESS(ROW()-1, COLUMN())))=1,"",INDIRECT(ADDRESS(30,6))-INDIRECT(ADDRESS(30,7)))</f>
        <v>7</v>
      </c>
      <c r="L7" s="61"/>
      <c r="M7" s="12">
        <f ca="1">IF(COUNT(F7:K7)=0,"",SUM(F7:K7))</f>
        <v>16</v>
      </c>
      <c r="N7" s="66"/>
    </row>
    <row r="8" spans="2:14" ht="21" x14ac:dyDescent="0.25">
      <c r="B8" s="53">
        <v>3</v>
      </c>
      <c r="C8" s="67" t="s">
        <v>31</v>
      </c>
      <c r="D8" s="68"/>
      <c r="E8" s="69"/>
      <c r="F8" s="14" t="str">
        <f ca="1">INDIRECT(ADDRESS(31,6))&amp;":"&amp;INDIRECT(ADDRESS(31,7))</f>
        <v>9:8</v>
      </c>
      <c r="G8" s="16" t="str">
        <f ca="1">INDIRECT(ADDRESS(37,7))&amp;":"&amp;INDIRECT(ADDRESS(37,6))</f>
        <v>13:10</v>
      </c>
      <c r="H8" s="15" t="s">
        <v>4</v>
      </c>
      <c r="I8" s="16" t="str">
        <f ca="1">INDIRECT(ADDRESS(22,6))&amp;":"&amp;INDIRECT(ADDRESS(22,7))</f>
        <v>10:3</v>
      </c>
      <c r="J8" s="16" t="str">
        <f ca="1">INDIRECT(ADDRESS(26,7))&amp;":"&amp;INDIRECT(ADDRESS(26,6))</f>
        <v>7:6</v>
      </c>
      <c r="K8" s="17" t="str">
        <f ca="1">INDIRECT(ADDRESS(40,6))&amp;":"&amp;INDIRECT(ADDRESS(40,7))</f>
        <v>13:3</v>
      </c>
      <c r="L8" s="61">
        <f ca="1">IF(COUNT(F9:K9)=0,"",COUNTIF(F9:K9,"&gt;0")+0.5*COUNTIF(F9:K9,0))</f>
        <v>5</v>
      </c>
      <c r="M8" s="12"/>
      <c r="N8" s="63">
        <v>1</v>
      </c>
    </row>
    <row r="9" spans="2:14" ht="21" x14ac:dyDescent="0.25">
      <c r="B9" s="65"/>
      <c r="C9" s="67"/>
      <c r="D9" s="68"/>
      <c r="E9" s="69"/>
      <c r="F9" s="18">
        <f ca="1">IF(LEN(INDIRECT(ADDRESS(ROW()-1, COLUMN())))=1,"",INDIRECT(ADDRESS(31,6))-INDIRECT(ADDRESS(31,7)))</f>
        <v>1</v>
      </c>
      <c r="G9" s="12">
        <f ca="1">IF(LEN(INDIRECT(ADDRESS(ROW()-1, COLUMN())))=1,"",INDIRECT(ADDRESS(37,7))-INDIRECT(ADDRESS(37,6)))</f>
        <v>3</v>
      </c>
      <c r="H9" s="19" t="s">
        <v>4</v>
      </c>
      <c r="I9" s="12">
        <f ca="1">IF(LEN(INDIRECT(ADDRESS(ROW()-1, COLUMN())))=1,"",INDIRECT(ADDRESS(22,6))-INDIRECT(ADDRESS(22,7)))</f>
        <v>7</v>
      </c>
      <c r="J9" s="12">
        <f ca="1">IF(LEN(INDIRECT(ADDRESS(ROW()-1, COLUMN())))=1,"",INDIRECT(ADDRESS(26,7))-INDIRECT(ADDRESS(26,6)))</f>
        <v>1</v>
      </c>
      <c r="K9" s="13">
        <f ca="1">IF(LEN(INDIRECT(ADDRESS(ROW()-1, COLUMN())))=1,"",INDIRECT(ADDRESS(40,6))-INDIRECT(ADDRESS(40,7)))</f>
        <v>10</v>
      </c>
      <c r="L9" s="61"/>
      <c r="M9" s="12">
        <f ca="1">IF(COUNT(F9:K9)=0,"",SUM(F9:K9))</f>
        <v>22</v>
      </c>
      <c r="N9" s="66"/>
    </row>
    <row r="10" spans="2:14" ht="21" x14ac:dyDescent="0.25">
      <c r="B10" s="53">
        <v>4</v>
      </c>
      <c r="C10" s="55" t="s">
        <v>32</v>
      </c>
      <c r="D10" s="56"/>
      <c r="E10" s="57"/>
      <c r="F10" s="14" t="str">
        <f ca="1">INDIRECT(ADDRESS(36,7))&amp;":"&amp;INDIRECT(ADDRESS(36,6))</f>
        <v>5:13</v>
      </c>
      <c r="G10" s="16" t="str">
        <f ca="1">INDIRECT(ADDRESS(41,6))&amp;":"&amp;INDIRECT(ADDRESS(41,7))</f>
        <v>3:13</v>
      </c>
      <c r="H10" s="16" t="str">
        <f ca="1">INDIRECT(ADDRESS(22,7))&amp;":"&amp;INDIRECT(ADDRESS(22,6))</f>
        <v>3:10</v>
      </c>
      <c r="I10" s="15" t="s">
        <v>4</v>
      </c>
      <c r="J10" s="16" t="str">
        <f ca="1">INDIRECT(ADDRESS(32,6))&amp;":"&amp;INDIRECT(ADDRESS(32,7))</f>
        <v>4:13</v>
      </c>
      <c r="K10" s="17" t="str">
        <f ca="1">INDIRECT(ADDRESS(25,7))&amp;":"&amp;INDIRECT(ADDRESS(25,6))</f>
        <v>0:13</v>
      </c>
      <c r="L10" s="61">
        <f ca="1">IF(COUNT(F11:K11)=0,"",COUNTIF(F11:K11,"&gt;0")+0.5*COUNTIF(F11:K11,0))</f>
        <v>0</v>
      </c>
      <c r="M10" s="12"/>
      <c r="N10" s="63">
        <v>6</v>
      </c>
    </row>
    <row r="11" spans="2:14" ht="21" x14ac:dyDescent="0.25">
      <c r="B11" s="65"/>
      <c r="C11" s="55"/>
      <c r="D11" s="56"/>
      <c r="E11" s="57"/>
      <c r="F11" s="18">
        <f ca="1">IF(LEN(INDIRECT(ADDRESS(ROW()-1, COLUMN())))=1,"",INDIRECT(ADDRESS(36,7))-INDIRECT(ADDRESS(36,6)))</f>
        <v>-8</v>
      </c>
      <c r="G11" s="12">
        <f ca="1">IF(LEN(INDIRECT(ADDRESS(ROW()-1, COLUMN())))=1,"",INDIRECT(ADDRESS(41,6))-INDIRECT(ADDRESS(41,7)))</f>
        <v>-10</v>
      </c>
      <c r="H11" s="12">
        <f ca="1">IF(LEN(INDIRECT(ADDRESS(ROW()-1, COLUMN())))=1,"",INDIRECT(ADDRESS(22,7))-INDIRECT(ADDRESS(22,6)))</f>
        <v>-7</v>
      </c>
      <c r="I11" s="19" t="s">
        <v>4</v>
      </c>
      <c r="J11" s="12">
        <f ca="1">IF(LEN(INDIRECT(ADDRESS(ROW()-1, COLUMN())))=1,"",INDIRECT(ADDRESS(32,6))-INDIRECT(ADDRESS(32,7)))</f>
        <v>-9</v>
      </c>
      <c r="K11" s="13">
        <f ca="1">IF(LEN(INDIRECT(ADDRESS(ROW()-1, COLUMN())))=1,"",INDIRECT(ADDRESS(25,7))-INDIRECT(ADDRESS(25,6)))</f>
        <v>-13</v>
      </c>
      <c r="L11" s="61"/>
      <c r="M11" s="12">
        <f ca="1">IF(COUNT(F11:K11)=0,"",SUM(F11:K11))</f>
        <v>-47</v>
      </c>
      <c r="N11" s="66"/>
    </row>
    <row r="12" spans="2:14" ht="21" x14ac:dyDescent="0.25">
      <c r="B12" s="53">
        <v>5</v>
      </c>
      <c r="C12" s="55" t="s">
        <v>33</v>
      </c>
      <c r="D12" s="56"/>
      <c r="E12" s="57"/>
      <c r="F12" s="14" t="str">
        <f ca="1">INDIRECT(ADDRESS(42,6))&amp;":"&amp;INDIRECT(ADDRESS(42,7))</f>
        <v>2:13</v>
      </c>
      <c r="G12" s="16" t="str">
        <f ca="1">INDIRECT(ADDRESS(21,7))&amp;":"&amp;INDIRECT(ADDRESS(21,6))</f>
        <v>8:12</v>
      </c>
      <c r="H12" s="16" t="str">
        <f ca="1">INDIRECT(ADDRESS(26,6))&amp;":"&amp;INDIRECT(ADDRESS(26,7))</f>
        <v>6:7</v>
      </c>
      <c r="I12" s="16" t="str">
        <f ca="1">INDIRECT(ADDRESS(32,7))&amp;":"&amp;INDIRECT(ADDRESS(32,6))</f>
        <v>13:4</v>
      </c>
      <c r="J12" s="15" t="s">
        <v>4</v>
      </c>
      <c r="K12" s="17" t="str">
        <f ca="1">INDIRECT(ADDRESS(35,7))&amp;":"&amp;INDIRECT(ADDRESS(35,6))</f>
        <v>11:6</v>
      </c>
      <c r="L12" s="61">
        <f ca="1">IF(COUNT(F13:K13)=0,"",COUNTIF(F13:K13,"&gt;0")+0.5*COUNTIF(F13:K13,0))</f>
        <v>2</v>
      </c>
      <c r="M12" s="12"/>
      <c r="N12" s="63">
        <v>4</v>
      </c>
    </row>
    <row r="13" spans="2:14" ht="21" x14ac:dyDescent="0.25">
      <c r="B13" s="65"/>
      <c r="C13" s="55"/>
      <c r="D13" s="56"/>
      <c r="E13" s="57"/>
      <c r="F13" s="18">
        <f ca="1">IF(LEN(INDIRECT(ADDRESS(ROW()-1, COLUMN())))=1,"",INDIRECT(ADDRESS(42,6))-INDIRECT(ADDRESS(42,7)))</f>
        <v>-11</v>
      </c>
      <c r="G13" s="12">
        <f ca="1">IF(LEN(INDIRECT(ADDRESS(ROW()-1, COLUMN())))=1,"",INDIRECT(ADDRESS(21,7))-INDIRECT(ADDRESS(21,6)))</f>
        <v>-4</v>
      </c>
      <c r="H13" s="12">
        <f ca="1">IF(LEN(INDIRECT(ADDRESS(ROW()-1, COLUMN())))=1,"",INDIRECT(ADDRESS(26,6))-INDIRECT(ADDRESS(26,7)))</f>
        <v>-1</v>
      </c>
      <c r="I13" s="12">
        <f ca="1">IF(LEN(INDIRECT(ADDRESS(ROW()-1, COLUMN())))=1,"",INDIRECT(ADDRESS(32,7))-INDIRECT(ADDRESS(32,6)))</f>
        <v>9</v>
      </c>
      <c r="J13" s="19" t="s">
        <v>4</v>
      </c>
      <c r="K13" s="13">
        <f ca="1">IF(LEN(INDIRECT(ADDRESS(ROW()-1, COLUMN())))=1,"",INDIRECT(ADDRESS(35,7))-INDIRECT(ADDRESS(35,6)))</f>
        <v>5</v>
      </c>
      <c r="L13" s="61"/>
      <c r="M13" s="12">
        <f ca="1">IF(COUNT(F13:K13)=0,"",SUM(F13:K13))</f>
        <v>-2</v>
      </c>
      <c r="N13" s="66"/>
    </row>
    <row r="14" spans="2:14" ht="21" x14ac:dyDescent="0.25">
      <c r="B14" s="53">
        <v>6</v>
      </c>
      <c r="C14" s="55" t="s">
        <v>34</v>
      </c>
      <c r="D14" s="56"/>
      <c r="E14" s="57"/>
      <c r="F14" s="14" t="str">
        <f ca="1">INDIRECT(ADDRESS(20,7))&amp;":"&amp;INDIRECT(ADDRESS(20,6))</f>
        <v>2:13</v>
      </c>
      <c r="G14" s="16" t="str">
        <f ca="1">INDIRECT(ADDRESS(30,7))&amp;":"&amp;INDIRECT(ADDRESS(30,6))</f>
        <v>6:13</v>
      </c>
      <c r="H14" s="16" t="str">
        <f ca="1">INDIRECT(ADDRESS(40,7))&amp;":"&amp;INDIRECT(ADDRESS(40,6))</f>
        <v>3:13</v>
      </c>
      <c r="I14" s="16" t="str">
        <f ca="1">INDIRECT(ADDRESS(25,6))&amp;":"&amp;INDIRECT(ADDRESS(25,7))</f>
        <v>13:0</v>
      </c>
      <c r="J14" s="16" t="str">
        <f ca="1">INDIRECT(ADDRESS(35,6))&amp;":"&amp;INDIRECT(ADDRESS(35,7))</f>
        <v>6:11</v>
      </c>
      <c r="K14" s="20" t="s">
        <v>4</v>
      </c>
      <c r="L14" s="61">
        <f ca="1">IF(COUNT(F15:K15)=0,"",COUNTIF(F15:K15,"&gt;0")+0.5*COUNTIF(F15:K15,0))</f>
        <v>1</v>
      </c>
      <c r="M14" s="12"/>
      <c r="N14" s="63">
        <v>5</v>
      </c>
    </row>
    <row r="15" spans="2:14" ht="21.75" thickBot="1" x14ac:dyDescent="0.3">
      <c r="B15" s="54"/>
      <c r="C15" s="58"/>
      <c r="D15" s="59"/>
      <c r="E15" s="60"/>
      <c r="F15" s="21">
        <f ca="1">IF(LEN(INDIRECT(ADDRESS(ROW()-1, COLUMN())))=1,"",INDIRECT(ADDRESS(20,7))-INDIRECT(ADDRESS(20,6)))</f>
        <v>-11</v>
      </c>
      <c r="G15" s="22">
        <f ca="1">IF(LEN(INDIRECT(ADDRESS(ROW()-1, COLUMN())))=1,"",INDIRECT(ADDRESS(30,7))-INDIRECT(ADDRESS(30,6)))</f>
        <v>-7</v>
      </c>
      <c r="H15" s="22">
        <f ca="1">IF(LEN(INDIRECT(ADDRESS(ROW()-1, COLUMN())))=1,"",INDIRECT(ADDRESS(40,7))-INDIRECT(ADDRESS(40,6)))</f>
        <v>-10</v>
      </c>
      <c r="I15" s="22">
        <f ca="1">IF(LEN(INDIRECT(ADDRESS(ROW()-1, COLUMN())))=1,"",INDIRECT(ADDRESS(25,6))-INDIRECT(ADDRESS(25,7)))</f>
        <v>13</v>
      </c>
      <c r="J15" s="22">
        <f ca="1">IF(LEN(INDIRECT(ADDRESS(ROW()-1, COLUMN())))=1,"",INDIRECT(ADDRESS(35,6))-INDIRECT(ADDRESS(35,7)))</f>
        <v>-5</v>
      </c>
      <c r="K15" s="23" t="s">
        <v>4</v>
      </c>
      <c r="L15" s="62"/>
      <c r="M15" s="22">
        <f ca="1">IF(COUNT(F15:K15)=0,"",SUM(F15:K15))</f>
        <v>-20</v>
      </c>
      <c r="N15" s="64"/>
    </row>
    <row r="16" spans="2:14" x14ac:dyDescent="0.25">
      <c r="M16"/>
    </row>
    <row r="17" spans="1:13" x14ac:dyDescent="0.25">
      <c r="M17"/>
    </row>
    <row r="18" spans="1:13" x14ac:dyDescent="0.25">
      <c r="M18"/>
    </row>
    <row r="19" spans="1:13" s="25" customFormat="1" ht="21.75" thickBot="1" x14ac:dyDescent="0.4">
      <c r="A19" s="24"/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3" s="25" customFormat="1" ht="21.75" thickBot="1" x14ac:dyDescent="0.4">
      <c r="A20" s="24"/>
      <c r="B20" s="26">
        <v>1</v>
      </c>
      <c r="C20" s="49" t="str">
        <f ca="1">IF(ISBLANK(INDIRECT(ADDRESS(B20*2+2,3))),"",INDIRECT(ADDRESS(B20*2+2,3)))</f>
        <v>Зубова, Африканов</v>
      </c>
      <c r="D20" s="49"/>
      <c r="E20" s="50"/>
      <c r="F20" s="27">
        <v>13</v>
      </c>
      <c r="G20" s="28">
        <v>2</v>
      </c>
      <c r="H20" s="51" t="str">
        <f ca="1">IF(ISBLANK(INDIRECT(ADDRESS(K20*2+2,3))),"",INDIRECT(ADDRESS(K20*2+2,3)))</f>
        <v>Тихомирова, Глуховский</v>
      </c>
      <c r="I20" s="49"/>
      <c r="J20" s="49"/>
      <c r="K20" s="26">
        <v>6</v>
      </c>
      <c r="L20" s="29" t="s">
        <v>6</v>
      </c>
      <c r="M20" s="30">
        <v>1</v>
      </c>
    </row>
    <row r="21" spans="1:13" s="25" customFormat="1" ht="21.75" thickBot="1" x14ac:dyDescent="0.4">
      <c r="A21" s="24"/>
      <c r="B21" s="26">
        <v>2</v>
      </c>
      <c r="C21" s="49" t="str">
        <f ca="1">IF(ISBLANK(INDIRECT(ADDRESS(B21*2+2,3))),"",INDIRECT(ADDRESS(B21*2+2,3)))</f>
        <v>Артюхина, Гулинин</v>
      </c>
      <c r="D21" s="49"/>
      <c r="E21" s="50"/>
      <c r="F21" s="27">
        <v>12</v>
      </c>
      <c r="G21" s="28">
        <v>8</v>
      </c>
      <c r="H21" s="51" t="str">
        <f ca="1">IF(ISBLANK(INDIRECT(ADDRESS(K21*2+2,3))),"",INDIRECT(ADDRESS(K21*2+2,3)))</f>
        <v>Воробьева, Бейгер</v>
      </c>
      <c r="I21" s="49"/>
      <c r="J21" s="49"/>
      <c r="K21" s="26">
        <v>5</v>
      </c>
      <c r="L21" s="29" t="s">
        <v>6</v>
      </c>
      <c r="M21" s="30">
        <v>2</v>
      </c>
    </row>
    <row r="22" spans="1:13" s="25" customFormat="1" ht="21.75" thickBot="1" x14ac:dyDescent="0.4">
      <c r="A22" s="24"/>
      <c r="B22" s="26">
        <v>3</v>
      </c>
      <c r="C22" s="49" t="str">
        <f ca="1">IF(ISBLANK(INDIRECT(ADDRESS(B22*2+2,3))),"",INDIRECT(ADDRESS(B22*2+2,3)))</f>
        <v>Лукьянова, Тихонов</v>
      </c>
      <c r="D22" s="49"/>
      <c r="E22" s="50"/>
      <c r="F22" s="27">
        <v>10</v>
      </c>
      <c r="G22" s="28">
        <v>3</v>
      </c>
      <c r="H22" s="51" t="str">
        <f ca="1">IF(ISBLANK(INDIRECT(ADDRESS(K22*2+2,3))),"",INDIRECT(ADDRESS(K22*2+2,3)))</f>
        <v>Зимины</v>
      </c>
      <c r="I22" s="49"/>
      <c r="J22" s="49"/>
      <c r="K22" s="26">
        <v>4</v>
      </c>
      <c r="L22" s="29" t="s">
        <v>6</v>
      </c>
      <c r="M22" s="30">
        <v>3</v>
      </c>
    </row>
    <row r="23" spans="1:13" s="25" customFormat="1" ht="21" x14ac:dyDescent="0.35">
      <c r="A23" s="24"/>
      <c r="M23" s="31"/>
    </row>
    <row r="24" spans="1:13" s="25" customFormat="1" ht="21.75" thickBot="1" x14ac:dyDescent="0.4">
      <c r="A24" s="24"/>
      <c r="B24" s="52" t="s">
        <v>7</v>
      </c>
      <c r="C24" s="52"/>
      <c r="D24" s="52"/>
      <c r="E24" s="52"/>
      <c r="F24" s="52"/>
      <c r="G24" s="52"/>
      <c r="H24" s="52"/>
      <c r="I24" s="52"/>
      <c r="J24" s="52"/>
      <c r="K24" s="52"/>
      <c r="M24" s="31"/>
    </row>
    <row r="25" spans="1:13" s="25" customFormat="1" ht="21.75" thickBot="1" x14ac:dyDescent="0.4">
      <c r="A25" s="24"/>
      <c r="B25" s="26">
        <v>6</v>
      </c>
      <c r="C25" s="49" t="str">
        <f ca="1">IF(ISBLANK(INDIRECT(ADDRESS(B25*2+2,3))),"",INDIRECT(ADDRESS(B25*2+2,3)))</f>
        <v>Тихомирова, Глуховский</v>
      </c>
      <c r="D25" s="49"/>
      <c r="E25" s="50"/>
      <c r="F25" s="27">
        <v>13</v>
      </c>
      <c r="G25" s="28">
        <v>0</v>
      </c>
      <c r="H25" s="51" t="str">
        <f ca="1">IF(ISBLANK(INDIRECT(ADDRESS(K25*2+2,3))),"",INDIRECT(ADDRESS(K25*2+2,3)))</f>
        <v>Зимины</v>
      </c>
      <c r="I25" s="49"/>
      <c r="J25" s="49"/>
      <c r="K25" s="26">
        <v>4</v>
      </c>
      <c r="L25" s="29" t="s">
        <v>6</v>
      </c>
      <c r="M25" s="30">
        <v>5</v>
      </c>
    </row>
    <row r="26" spans="1:13" s="25" customFormat="1" ht="21.75" thickBot="1" x14ac:dyDescent="0.4">
      <c r="A26" s="24"/>
      <c r="B26" s="26">
        <v>5</v>
      </c>
      <c r="C26" s="49" t="str">
        <f ca="1">IF(ISBLANK(INDIRECT(ADDRESS(B26*2+2,3))),"",INDIRECT(ADDRESS(B26*2+2,3)))</f>
        <v>Воробьева, Бейгер</v>
      </c>
      <c r="D26" s="49"/>
      <c r="E26" s="50"/>
      <c r="F26" s="27">
        <v>6</v>
      </c>
      <c r="G26" s="28">
        <v>7</v>
      </c>
      <c r="H26" s="51" t="str">
        <f ca="1">IF(ISBLANK(INDIRECT(ADDRESS(K26*2+2,3))),"",INDIRECT(ADDRESS(K26*2+2,3)))</f>
        <v>Лукьянова, Тихонов</v>
      </c>
      <c r="I26" s="49"/>
      <c r="J26" s="49"/>
      <c r="K26" s="26">
        <v>3</v>
      </c>
      <c r="L26" s="29" t="s">
        <v>6</v>
      </c>
      <c r="M26" s="30">
        <v>6</v>
      </c>
    </row>
    <row r="27" spans="1:13" s="25" customFormat="1" ht="21.75" thickBot="1" x14ac:dyDescent="0.4">
      <c r="A27" s="24"/>
      <c r="B27" s="26">
        <v>1</v>
      </c>
      <c r="C27" s="49" t="str">
        <f ca="1">IF(ISBLANK(INDIRECT(ADDRESS(B27*2+2,3))),"",INDIRECT(ADDRESS(B27*2+2,3)))</f>
        <v>Зубова, Африканов</v>
      </c>
      <c r="D27" s="49"/>
      <c r="E27" s="50"/>
      <c r="F27" s="27">
        <v>12</v>
      </c>
      <c r="G27" s="28">
        <v>10</v>
      </c>
      <c r="H27" s="51" t="str">
        <f ca="1">IF(ISBLANK(INDIRECT(ADDRESS(K27*2+2,3))),"",INDIRECT(ADDRESS(K27*2+2,3)))</f>
        <v>Артюхина, Гулинин</v>
      </c>
      <c r="I27" s="49"/>
      <c r="J27" s="49"/>
      <c r="K27" s="26">
        <v>2</v>
      </c>
      <c r="L27" s="29" t="s">
        <v>6</v>
      </c>
      <c r="M27" s="30">
        <v>4</v>
      </c>
    </row>
    <row r="28" spans="1:13" s="25" customFormat="1" ht="21" x14ac:dyDescent="0.35">
      <c r="A28" s="24"/>
      <c r="M28" s="31"/>
    </row>
    <row r="29" spans="1:13" s="25" customFormat="1" ht="21.75" thickBot="1" x14ac:dyDescent="0.4">
      <c r="A29" s="24"/>
      <c r="B29" s="52" t="s">
        <v>8</v>
      </c>
      <c r="C29" s="52"/>
      <c r="D29" s="52"/>
      <c r="E29" s="52"/>
      <c r="F29" s="52"/>
      <c r="G29" s="52"/>
      <c r="H29" s="52"/>
      <c r="I29" s="52"/>
      <c r="J29" s="52"/>
      <c r="K29" s="52"/>
      <c r="M29" s="31"/>
    </row>
    <row r="30" spans="1:13" s="25" customFormat="1" ht="21.75" thickBot="1" x14ac:dyDescent="0.4">
      <c r="A30" s="24"/>
      <c r="B30" s="26">
        <v>2</v>
      </c>
      <c r="C30" s="49" t="str">
        <f ca="1">IF(ISBLANK(INDIRECT(ADDRESS(B30*2+2,3))),"",INDIRECT(ADDRESS(B30*2+2,3)))</f>
        <v>Артюхина, Гулинин</v>
      </c>
      <c r="D30" s="49"/>
      <c r="E30" s="50"/>
      <c r="F30" s="27">
        <v>13</v>
      </c>
      <c r="G30" s="28">
        <v>6</v>
      </c>
      <c r="H30" s="51" t="str">
        <f ca="1">IF(ISBLANK(INDIRECT(ADDRESS(K30*2+2,3))),"",INDIRECT(ADDRESS(K30*2+2,3)))</f>
        <v>Тихомирова, Глуховский</v>
      </c>
      <c r="I30" s="49"/>
      <c r="J30" s="49"/>
      <c r="K30" s="26">
        <v>6</v>
      </c>
      <c r="L30" s="29" t="s">
        <v>6</v>
      </c>
      <c r="M30" s="30">
        <v>7</v>
      </c>
    </row>
    <row r="31" spans="1:13" s="25" customFormat="1" ht="21.75" thickBot="1" x14ac:dyDescent="0.4">
      <c r="A31" s="24"/>
      <c r="B31" s="26">
        <v>3</v>
      </c>
      <c r="C31" s="49" t="str">
        <f ca="1">IF(ISBLANK(INDIRECT(ADDRESS(B31*2+2,3))),"",INDIRECT(ADDRESS(B31*2+2,3)))</f>
        <v>Лукьянова, Тихонов</v>
      </c>
      <c r="D31" s="49"/>
      <c r="E31" s="50"/>
      <c r="F31" s="27">
        <v>9</v>
      </c>
      <c r="G31" s="28">
        <v>8</v>
      </c>
      <c r="H31" s="51" t="str">
        <f ca="1">IF(ISBLANK(INDIRECT(ADDRESS(K31*2+2,3))),"",INDIRECT(ADDRESS(K31*2+2,3)))</f>
        <v>Зубова, Африканов</v>
      </c>
      <c r="I31" s="49"/>
      <c r="J31" s="49"/>
      <c r="K31" s="26">
        <v>1</v>
      </c>
      <c r="L31" s="29" t="s">
        <v>6</v>
      </c>
      <c r="M31" s="30">
        <v>8</v>
      </c>
    </row>
    <row r="32" spans="1:13" s="25" customFormat="1" ht="21.75" thickBot="1" x14ac:dyDescent="0.4">
      <c r="A32" s="24"/>
      <c r="B32" s="26">
        <v>4</v>
      </c>
      <c r="C32" s="49" t="str">
        <f ca="1">IF(ISBLANK(INDIRECT(ADDRESS(B32*2+2,3))),"",INDIRECT(ADDRESS(B32*2+2,3)))</f>
        <v>Зимины</v>
      </c>
      <c r="D32" s="49"/>
      <c r="E32" s="50"/>
      <c r="F32" s="27">
        <v>4</v>
      </c>
      <c r="G32" s="28">
        <v>13</v>
      </c>
      <c r="H32" s="51" t="str">
        <f ca="1">IF(ISBLANK(INDIRECT(ADDRESS(K32*2+2,3))),"",INDIRECT(ADDRESS(K32*2+2,3)))</f>
        <v>Воробьева, Бейгер</v>
      </c>
      <c r="I32" s="49"/>
      <c r="J32" s="49"/>
      <c r="K32" s="26">
        <v>5</v>
      </c>
      <c r="L32" s="29" t="s">
        <v>6</v>
      </c>
      <c r="M32" s="30">
        <v>1</v>
      </c>
    </row>
    <row r="33" spans="1:13" s="25" customFormat="1" ht="21" x14ac:dyDescent="0.35">
      <c r="A33" s="24"/>
      <c r="M33" s="31"/>
    </row>
    <row r="34" spans="1:13" s="25" customFormat="1" ht="21.75" thickBot="1" x14ac:dyDescent="0.4">
      <c r="A34" s="24"/>
      <c r="B34" s="52" t="s">
        <v>9</v>
      </c>
      <c r="C34" s="52"/>
      <c r="D34" s="52"/>
      <c r="E34" s="52"/>
      <c r="F34" s="52"/>
      <c r="G34" s="52"/>
      <c r="H34" s="52"/>
      <c r="I34" s="52"/>
      <c r="J34" s="52"/>
      <c r="K34" s="52"/>
      <c r="M34" s="31"/>
    </row>
    <row r="35" spans="1:13" s="25" customFormat="1" ht="21.75" thickBot="1" x14ac:dyDescent="0.4">
      <c r="A35" s="24"/>
      <c r="B35" s="26">
        <v>6</v>
      </c>
      <c r="C35" s="49" t="str">
        <f ca="1">IF(ISBLANK(INDIRECT(ADDRESS(B35*2+2,3))),"",INDIRECT(ADDRESS(B35*2+2,3)))</f>
        <v>Тихомирова, Глуховский</v>
      </c>
      <c r="D35" s="49"/>
      <c r="E35" s="50"/>
      <c r="F35" s="27">
        <v>6</v>
      </c>
      <c r="G35" s="28">
        <v>11</v>
      </c>
      <c r="H35" s="51" t="str">
        <f ca="1">IF(ISBLANK(INDIRECT(ADDRESS(K35*2+2,3))),"",INDIRECT(ADDRESS(K35*2+2,3)))</f>
        <v>Воробьева, Бейгер</v>
      </c>
      <c r="I35" s="49"/>
      <c r="J35" s="49"/>
      <c r="K35" s="26">
        <v>5</v>
      </c>
      <c r="L35" s="29" t="s">
        <v>6</v>
      </c>
      <c r="M35" s="30">
        <v>3</v>
      </c>
    </row>
    <row r="36" spans="1:13" s="25" customFormat="1" ht="21.75" thickBot="1" x14ac:dyDescent="0.4">
      <c r="A36" s="24"/>
      <c r="B36" s="26">
        <v>1</v>
      </c>
      <c r="C36" s="49" t="str">
        <f ca="1">IF(ISBLANK(INDIRECT(ADDRESS(B36*2+2,3))),"",INDIRECT(ADDRESS(B36*2+2,3)))</f>
        <v>Зубова, Африканов</v>
      </c>
      <c r="D36" s="49"/>
      <c r="E36" s="50"/>
      <c r="F36" s="27">
        <v>13</v>
      </c>
      <c r="G36" s="28">
        <v>5</v>
      </c>
      <c r="H36" s="51" t="str">
        <f ca="1">IF(ISBLANK(INDIRECT(ADDRESS(K36*2+2,3))),"",INDIRECT(ADDRESS(K36*2+2,3)))</f>
        <v>Зимины</v>
      </c>
      <c r="I36" s="49"/>
      <c r="J36" s="49"/>
      <c r="K36" s="26">
        <v>4</v>
      </c>
      <c r="L36" s="29" t="s">
        <v>6</v>
      </c>
      <c r="M36" s="30">
        <v>4</v>
      </c>
    </row>
    <row r="37" spans="1:13" s="25" customFormat="1" ht="21.75" thickBot="1" x14ac:dyDescent="0.4">
      <c r="A37" s="24"/>
      <c r="B37" s="26">
        <v>2</v>
      </c>
      <c r="C37" s="49" t="str">
        <f ca="1">IF(ISBLANK(INDIRECT(ADDRESS(B37*2+2,3))),"",INDIRECT(ADDRESS(B37*2+2,3)))</f>
        <v>Артюхина, Гулинин</v>
      </c>
      <c r="D37" s="49"/>
      <c r="E37" s="50"/>
      <c r="F37" s="27">
        <v>10</v>
      </c>
      <c r="G37" s="28">
        <v>13</v>
      </c>
      <c r="H37" s="51" t="str">
        <f ca="1">IF(ISBLANK(INDIRECT(ADDRESS(K37*2+2,3))),"",INDIRECT(ADDRESS(K37*2+2,3)))</f>
        <v>Лукьянова, Тихонов</v>
      </c>
      <c r="I37" s="49"/>
      <c r="J37" s="49"/>
      <c r="K37" s="26">
        <v>3</v>
      </c>
      <c r="L37" s="29" t="s">
        <v>6</v>
      </c>
      <c r="M37" s="30">
        <v>2</v>
      </c>
    </row>
    <row r="38" spans="1:13" s="25" customFormat="1" ht="21" x14ac:dyDescent="0.35">
      <c r="A38" s="24"/>
      <c r="M38" s="31"/>
    </row>
    <row r="39" spans="1:13" s="25" customFormat="1" ht="21.75" thickBot="1" x14ac:dyDescent="0.4">
      <c r="A39" s="24"/>
      <c r="B39" s="52" t="s">
        <v>10</v>
      </c>
      <c r="C39" s="52"/>
      <c r="D39" s="52"/>
      <c r="E39" s="52"/>
      <c r="F39" s="52"/>
      <c r="G39" s="52"/>
      <c r="H39" s="52"/>
      <c r="I39" s="52"/>
      <c r="J39" s="52"/>
      <c r="K39" s="52"/>
      <c r="M39" s="31"/>
    </row>
    <row r="40" spans="1:13" s="25" customFormat="1" ht="21.75" thickBot="1" x14ac:dyDescent="0.4">
      <c r="A40" s="24"/>
      <c r="B40" s="26">
        <v>3</v>
      </c>
      <c r="C40" s="49" t="str">
        <f ca="1">IF(ISBLANK(INDIRECT(ADDRESS(B40*2+2,3))),"",INDIRECT(ADDRESS(B40*2+2,3)))</f>
        <v>Лукьянова, Тихонов</v>
      </c>
      <c r="D40" s="49"/>
      <c r="E40" s="50"/>
      <c r="F40" s="27">
        <v>13</v>
      </c>
      <c r="G40" s="28">
        <v>3</v>
      </c>
      <c r="H40" s="51" t="str">
        <f ca="1">IF(ISBLANK(INDIRECT(ADDRESS(K40*2+2,3))),"",INDIRECT(ADDRESS(K40*2+2,3)))</f>
        <v>Тихомирова, Глуховский</v>
      </c>
      <c r="I40" s="49"/>
      <c r="J40" s="49"/>
      <c r="K40" s="26">
        <v>6</v>
      </c>
      <c r="L40" s="29" t="s">
        <v>6</v>
      </c>
      <c r="M40" s="30">
        <v>5</v>
      </c>
    </row>
    <row r="41" spans="1:13" s="25" customFormat="1" ht="21.75" thickBot="1" x14ac:dyDescent="0.4">
      <c r="A41" s="24"/>
      <c r="B41" s="26">
        <v>4</v>
      </c>
      <c r="C41" s="49" t="str">
        <f ca="1">IF(ISBLANK(INDIRECT(ADDRESS(B41*2+2,3))),"",INDIRECT(ADDRESS(B41*2+2,3)))</f>
        <v>Зимины</v>
      </c>
      <c r="D41" s="49"/>
      <c r="E41" s="50"/>
      <c r="F41" s="27">
        <v>3</v>
      </c>
      <c r="G41" s="28">
        <v>13</v>
      </c>
      <c r="H41" s="51" t="str">
        <f ca="1">IF(ISBLANK(INDIRECT(ADDRESS(K41*2+2,3))),"",INDIRECT(ADDRESS(K41*2+2,3)))</f>
        <v>Артюхина, Гулинин</v>
      </c>
      <c r="I41" s="49"/>
      <c r="J41" s="49"/>
      <c r="K41" s="26">
        <v>2</v>
      </c>
      <c r="L41" s="29" t="s">
        <v>6</v>
      </c>
      <c r="M41" s="30">
        <v>6</v>
      </c>
    </row>
    <row r="42" spans="1:13" s="25" customFormat="1" ht="21.75" thickBot="1" x14ac:dyDescent="0.4">
      <c r="A42" s="24"/>
      <c r="B42" s="26">
        <v>5</v>
      </c>
      <c r="C42" s="49" t="str">
        <f ca="1">IF(ISBLANK(INDIRECT(ADDRESS(B42*2+2,3))),"",INDIRECT(ADDRESS(B42*2+2,3)))</f>
        <v>Воробьева, Бейгер</v>
      </c>
      <c r="D42" s="49"/>
      <c r="E42" s="50"/>
      <c r="F42" s="27">
        <v>2</v>
      </c>
      <c r="G42" s="28">
        <v>13</v>
      </c>
      <c r="H42" s="51" t="str">
        <f ca="1">IF(ISBLANK(INDIRECT(ADDRESS(K42*2+2,3))),"",INDIRECT(ADDRESS(K42*2+2,3)))</f>
        <v>Зубова, Африканов</v>
      </c>
      <c r="I42" s="49"/>
      <c r="J42" s="49"/>
      <c r="K42" s="26">
        <v>1</v>
      </c>
      <c r="L42" s="29" t="s">
        <v>6</v>
      </c>
      <c r="M42" s="30">
        <v>7</v>
      </c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25" right="0.25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P13" sqref="P13"/>
    </sheetView>
  </sheetViews>
  <sheetFormatPr defaultRowHeight="15" x14ac:dyDescent="0.25"/>
  <cols>
    <col min="1" max="1" width="4" style="47" customWidth="1"/>
    <col min="2" max="12" width="10.28515625" customWidth="1"/>
    <col min="13" max="13" width="10.28515625" style="35" customWidth="1"/>
    <col min="14" max="15" width="10.28515625" customWidth="1"/>
  </cols>
  <sheetData>
    <row r="1" spans="2:13" customFormat="1" ht="31.5" x14ac:dyDescent="0.25">
      <c r="B1" s="71" t="s">
        <v>28</v>
      </c>
      <c r="C1" s="71"/>
      <c r="D1" s="71"/>
      <c r="E1" s="71"/>
      <c r="F1" s="71"/>
      <c r="G1" s="71"/>
      <c r="H1" s="71"/>
      <c r="I1" s="71"/>
      <c r="J1" s="71"/>
      <c r="K1" s="71"/>
    </row>
    <row r="2" spans="2:13" customFormat="1" ht="15.75" thickBot="1" x14ac:dyDescent="0.3"/>
    <row r="3" spans="2:13" customFormat="1" ht="15.75" thickBot="1" x14ac:dyDescent="0.3">
      <c r="B3" s="46"/>
      <c r="C3" s="72" t="s">
        <v>0</v>
      </c>
      <c r="D3" s="73"/>
      <c r="E3" s="74"/>
      <c r="F3" s="3">
        <v>1</v>
      </c>
      <c r="G3" s="3">
        <v>2</v>
      </c>
      <c r="H3" s="3">
        <v>3</v>
      </c>
      <c r="I3" s="4">
        <v>4</v>
      </c>
      <c r="J3" s="4">
        <v>5</v>
      </c>
      <c r="K3" s="46" t="s">
        <v>1</v>
      </c>
      <c r="L3" s="3" t="s">
        <v>2</v>
      </c>
      <c r="M3" s="33" t="s">
        <v>3</v>
      </c>
    </row>
    <row r="4" spans="2:13" customFormat="1" ht="21" x14ac:dyDescent="0.25">
      <c r="B4" s="75">
        <v>1</v>
      </c>
      <c r="C4" s="76" t="s">
        <v>35</v>
      </c>
      <c r="D4" s="77"/>
      <c r="E4" s="78"/>
      <c r="F4" s="7" t="s">
        <v>4</v>
      </c>
      <c r="G4" s="8" t="str">
        <f ca="1">INDIRECT(ADDRESS(23,6))&amp;":"&amp;INDIRECT(ADDRESS(23,7))</f>
        <v>13:5</v>
      </c>
      <c r="H4" s="8" t="str">
        <f ca="1">INDIRECT(ADDRESS(26,7))&amp;":"&amp;INDIRECT(ADDRESS(26,6))</f>
        <v>13:6</v>
      </c>
      <c r="I4" s="8" t="str">
        <f ca="1">INDIRECT(ADDRESS(30,6))&amp;":"&amp;INDIRECT(ADDRESS(30,7))</f>
        <v>4:13</v>
      </c>
      <c r="J4" s="9" t="str">
        <f ca="1">INDIRECT(ADDRESS(35,7))&amp;":"&amp;INDIRECT(ADDRESS(35,6))</f>
        <v>13:0</v>
      </c>
      <c r="K4" s="85">
        <f ca="1">IF(COUNT(F5:J5)=0,"",COUNTIF(F5:J5,"&gt;0")+0.5*COUNTIF(F5:J5,0))</f>
        <v>3</v>
      </c>
      <c r="L4" s="10"/>
      <c r="M4" s="84">
        <v>2</v>
      </c>
    </row>
    <row r="5" spans="2:13" customFormat="1" ht="21" x14ac:dyDescent="0.25">
      <c r="B5" s="65"/>
      <c r="C5" s="67"/>
      <c r="D5" s="68"/>
      <c r="E5" s="69"/>
      <c r="F5" s="11" t="s">
        <v>4</v>
      </c>
      <c r="G5" s="12">
        <f ca="1">IF(LEN(INDIRECT(ADDRESS(ROW()-1, COLUMN())))=1,"",INDIRECT(ADDRESS(23,6))-INDIRECT(ADDRESS(23,7)))</f>
        <v>8</v>
      </c>
      <c r="H5" s="12">
        <f ca="1">IF(LEN(INDIRECT(ADDRESS(ROW()-1, COLUMN())))=1,"",INDIRECT(ADDRESS(26,7))-INDIRECT(ADDRESS(26,6)))</f>
        <v>7</v>
      </c>
      <c r="I5" s="12">
        <f ca="1">IF(LEN(INDIRECT(ADDRESS(ROW()-1, COLUMN())))=1,"",INDIRECT(ADDRESS(30,6))-INDIRECT(ADDRESS(30,7)))</f>
        <v>-9</v>
      </c>
      <c r="J5" s="13">
        <f ca="1">IF(LEN(INDIRECT(ADDRESS(ROW()-1, COLUMN())))=1,"",INDIRECT(ADDRESS(35,7))-INDIRECT(ADDRESS(35,6)))</f>
        <v>13</v>
      </c>
      <c r="K5" s="81"/>
      <c r="L5" s="12">
        <f ca="1">IF(COUNT(F5:J5)=0,"",SUM(F5:J5))</f>
        <v>19</v>
      </c>
      <c r="M5" s="80"/>
    </row>
    <row r="6" spans="2:13" customFormat="1" ht="21" x14ac:dyDescent="0.25">
      <c r="B6" s="53">
        <v>2</v>
      </c>
      <c r="C6" s="55" t="s">
        <v>36</v>
      </c>
      <c r="D6" s="56"/>
      <c r="E6" s="57"/>
      <c r="F6" s="14" t="str">
        <f ca="1">INDIRECT(ADDRESS(23,7))&amp;":"&amp;INDIRECT(ADDRESS(23,6))</f>
        <v>5:13</v>
      </c>
      <c r="G6" s="15" t="s">
        <v>4</v>
      </c>
      <c r="H6" s="16" t="str">
        <f ca="1">INDIRECT(ADDRESS(31,6))&amp;":"&amp;INDIRECT(ADDRESS(31,7))</f>
        <v>0:12</v>
      </c>
      <c r="I6" s="16" t="str">
        <f ca="1">INDIRECT(ADDRESS(34,7))&amp;":"&amp;INDIRECT(ADDRESS(34,6))</f>
        <v>9:13</v>
      </c>
      <c r="J6" s="17" t="str">
        <f ca="1">INDIRECT(ADDRESS(18,6))&amp;":"&amp;INDIRECT(ADDRESS(18,7))</f>
        <v>13:5</v>
      </c>
      <c r="K6" s="81">
        <f ca="1">IF(COUNT(F7:J7)=0,"",COUNTIF(F7:J7,"&gt;0")+0.5*COUNTIF(F7:J7,0))</f>
        <v>1</v>
      </c>
      <c r="L6" s="12"/>
      <c r="M6" s="80">
        <v>5</v>
      </c>
    </row>
    <row r="7" spans="2:13" customFormat="1" ht="21" x14ac:dyDescent="0.25">
      <c r="B7" s="65"/>
      <c r="C7" s="55"/>
      <c r="D7" s="56"/>
      <c r="E7" s="57"/>
      <c r="F7" s="18">
        <f ca="1">IF(LEN(INDIRECT(ADDRESS(ROW()-1, COLUMN())))=1,"",INDIRECT(ADDRESS(23,7))-INDIRECT(ADDRESS(23,6)))</f>
        <v>-8</v>
      </c>
      <c r="G7" s="19" t="s">
        <v>4</v>
      </c>
      <c r="H7" s="12">
        <f ca="1">IF(LEN(INDIRECT(ADDRESS(ROW()-1, COLUMN())))=1,"",INDIRECT(ADDRESS(31,6))-INDIRECT(ADDRESS(31,7)))</f>
        <v>-12</v>
      </c>
      <c r="I7" s="12">
        <f ca="1">IF(LEN(INDIRECT(ADDRESS(ROW()-1, COLUMN())))=1,"",INDIRECT(ADDRESS(34,7))-INDIRECT(ADDRESS(34,6)))</f>
        <v>-4</v>
      </c>
      <c r="J7" s="13">
        <f ca="1">IF(LEN(INDIRECT(ADDRESS(ROW()-1, COLUMN())))=1,"",INDIRECT(ADDRESS(18,6))-INDIRECT(ADDRESS(18,7)))</f>
        <v>8</v>
      </c>
      <c r="K7" s="81"/>
      <c r="L7" s="12">
        <f ca="1">IF(COUNT(F7:J7)=0,"",SUM(F7:J7))</f>
        <v>-16</v>
      </c>
      <c r="M7" s="80"/>
    </row>
    <row r="8" spans="2:13" customFormat="1" ht="21" x14ac:dyDescent="0.25">
      <c r="B8" s="53">
        <v>3</v>
      </c>
      <c r="C8" s="55" t="s">
        <v>37</v>
      </c>
      <c r="D8" s="56"/>
      <c r="E8" s="57"/>
      <c r="F8" s="14" t="str">
        <f ca="1">INDIRECT(ADDRESS(26,6))&amp;":"&amp;INDIRECT(ADDRESS(26,7))</f>
        <v>6:13</v>
      </c>
      <c r="G8" s="16" t="str">
        <f ca="1">INDIRECT(ADDRESS(31,7))&amp;":"&amp;INDIRECT(ADDRESS(31,6))</f>
        <v>12:0</v>
      </c>
      <c r="H8" s="15" t="s">
        <v>4</v>
      </c>
      <c r="I8" s="16" t="str">
        <f ca="1">INDIRECT(ADDRESS(19,6))&amp;":"&amp;INDIRECT(ADDRESS(19,7))</f>
        <v>6:12</v>
      </c>
      <c r="J8" s="17" t="str">
        <f ca="1">INDIRECT(ADDRESS(22,7))&amp;":"&amp;INDIRECT(ADDRESS(22,6))</f>
        <v>6:10</v>
      </c>
      <c r="K8" s="81">
        <f ca="1">IF(COUNT(F9:J9)=0,"",COUNTIF(F9:J9,"&gt;0")+0.5*COUNTIF(F9:J9,0))</f>
        <v>1</v>
      </c>
      <c r="L8" s="12"/>
      <c r="M8" s="80">
        <v>4</v>
      </c>
    </row>
    <row r="9" spans="2:13" customFormat="1" ht="21" x14ac:dyDescent="0.25">
      <c r="B9" s="65"/>
      <c r="C9" s="55"/>
      <c r="D9" s="56"/>
      <c r="E9" s="57"/>
      <c r="F9" s="18">
        <f ca="1">IF(LEN(INDIRECT(ADDRESS(ROW()-1, COLUMN())))=1,"",INDIRECT(ADDRESS(26,6))-INDIRECT(ADDRESS(26,7)))</f>
        <v>-7</v>
      </c>
      <c r="G9" s="12">
        <f ca="1">IF(LEN(INDIRECT(ADDRESS(ROW()-1, COLUMN())))=1,"",INDIRECT(ADDRESS(31,7))-INDIRECT(ADDRESS(31,6)))</f>
        <v>12</v>
      </c>
      <c r="H9" s="19" t="s">
        <v>4</v>
      </c>
      <c r="I9" s="12">
        <f ca="1">IF(LEN(INDIRECT(ADDRESS(ROW()-1, COLUMN())))=1,"",INDIRECT(ADDRESS(19,6))-INDIRECT(ADDRESS(19,7)))</f>
        <v>-6</v>
      </c>
      <c r="J9" s="13">
        <f ca="1">IF(LEN(INDIRECT(ADDRESS(ROW()-1, COLUMN())))=1,"",INDIRECT(ADDRESS(22,7))-INDIRECT(ADDRESS(22,6)))</f>
        <v>-4</v>
      </c>
      <c r="K9" s="81"/>
      <c r="L9" s="12">
        <f ca="1">IF(COUNT(F9:J9)=0,"",SUM(F9:J9))</f>
        <v>-5</v>
      </c>
      <c r="M9" s="80"/>
    </row>
    <row r="10" spans="2:13" customFormat="1" ht="21" x14ac:dyDescent="0.25">
      <c r="B10" s="53">
        <v>4</v>
      </c>
      <c r="C10" s="67" t="s">
        <v>38</v>
      </c>
      <c r="D10" s="68"/>
      <c r="E10" s="69"/>
      <c r="F10" s="14" t="str">
        <f ca="1">INDIRECT(ADDRESS(30,7))&amp;":"&amp;INDIRECT(ADDRESS(30,6))</f>
        <v>13:4</v>
      </c>
      <c r="G10" s="16" t="str">
        <f ca="1">INDIRECT(ADDRESS(34,6))&amp;":"&amp;INDIRECT(ADDRESS(34,7))</f>
        <v>13:9</v>
      </c>
      <c r="H10" s="16" t="str">
        <f ca="1">INDIRECT(ADDRESS(19,7))&amp;":"&amp;INDIRECT(ADDRESS(19,6))</f>
        <v>12:6</v>
      </c>
      <c r="I10" s="15" t="s">
        <v>4</v>
      </c>
      <c r="J10" s="17" t="str">
        <f ca="1">INDIRECT(ADDRESS(27,6))&amp;":"&amp;INDIRECT(ADDRESS(27,7))</f>
        <v>2:13</v>
      </c>
      <c r="K10" s="81">
        <f ca="1">IF(COUNT(F11:J11)=0,"",COUNTIF(F11:J11,"&gt;0")+0.5*COUNTIF(F11:J11,0))</f>
        <v>3</v>
      </c>
      <c r="L10" s="12"/>
      <c r="M10" s="80">
        <v>1</v>
      </c>
    </row>
    <row r="11" spans="2:13" customFormat="1" ht="21" x14ac:dyDescent="0.25">
      <c r="B11" s="65"/>
      <c r="C11" s="67"/>
      <c r="D11" s="68"/>
      <c r="E11" s="69"/>
      <c r="F11" s="18">
        <f ca="1">IF(LEN(INDIRECT(ADDRESS(ROW()-1, COLUMN())))=1,"",INDIRECT(ADDRESS(30,7))-INDIRECT(ADDRESS(30,6)))</f>
        <v>9</v>
      </c>
      <c r="G11" s="12">
        <f ca="1">IF(LEN(INDIRECT(ADDRESS(ROW()-1, COLUMN())))=1,"",INDIRECT(ADDRESS(34,6))-INDIRECT(ADDRESS(34,7)))</f>
        <v>4</v>
      </c>
      <c r="H11" s="12">
        <f ca="1">IF(LEN(INDIRECT(ADDRESS(ROW()-1, COLUMN())))=1,"",INDIRECT(ADDRESS(19,7))-INDIRECT(ADDRESS(19,6)))</f>
        <v>6</v>
      </c>
      <c r="I11" s="19" t="s">
        <v>4</v>
      </c>
      <c r="J11" s="13">
        <f ca="1">IF(LEN(INDIRECT(ADDRESS(ROW()-1, COLUMN())))=1,"",INDIRECT(ADDRESS(27,6))-INDIRECT(ADDRESS(27,7)))</f>
        <v>-11</v>
      </c>
      <c r="K11" s="81"/>
      <c r="L11" s="12">
        <f ca="1">IF(COUNT(F11:J11)=0,"",SUM(F11:J11))</f>
        <v>8</v>
      </c>
      <c r="M11" s="80"/>
    </row>
    <row r="12" spans="2:13" customFormat="1" ht="21" x14ac:dyDescent="0.25">
      <c r="B12" s="53">
        <v>5</v>
      </c>
      <c r="C12" s="55" t="s">
        <v>39</v>
      </c>
      <c r="D12" s="56"/>
      <c r="E12" s="57"/>
      <c r="F12" s="14" t="str">
        <f ca="1">INDIRECT(ADDRESS(35,6))&amp;":"&amp;INDIRECT(ADDRESS(35,7))</f>
        <v>0:13</v>
      </c>
      <c r="G12" s="16" t="str">
        <f ca="1">INDIRECT(ADDRESS(18,7))&amp;":"&amp;INDIRECT(ADDRESS(18,6))</f>
        <v>5:13</v>
      </c>
      <c r="H12" s="16" t="str">
        <f ca="1">INDIRECT(ADDRESS(22,6))&amp;":"&amp;INDIRECT(ADDRESS(22,7))</f>
        <v>10:6</v>
      </c>
      <c r="I12" s="16" t="str">
        <f ca="1">INDIRECT(ADDRESS(27,7))&amp;":"&amp;INDIRECT(ADDRESS(27,6))</f>
        <v>13:2</v>
      </c>
      <c r="J12" s="20" t="s">
        <v>4</v>
      </c>
      <c r="K12" s="81">
        <f ca="1">IF(COUNT(F13:J13)=0,"",COUNTIF(F13:J13,"&gt;0")+0.5*COUNTIF(F13:J13,0))</f>
        <v>2</v>
      </c>
      <c r="L12" s="12"/>
      <c r="M12" s="80">
        <v>3</v>
      </c>
    </row>
    <row r="13" spans="2:13" customFormat="1" ht="21.75" thickBot="1" x14ac:dyDescent="0.3">
      <c r="B13" s="54"/>
      <c r="C13" s="58"/>
      <c r="D13" s="59"/>
      <c r="E13" s="60"/>
      <c r="F13" s="21">
        <f ca="1">IF(LEN(INDIRECT(ADDRESS(ROW()-1, COLUMN())))=1,"",INDIRECT(ADDRESS(35,6))-INDIRECT(ADDRESS(35,7)))</f>
        <v>-13</v>
      </c>
      <c r="G13" s="22">
        <f ca="1">IF(LEN(INDIRECT(ADDRESS(ROW()-1, COLUMN())))=1,"",INDIRECT(ADDRESS(18,7))-INDIRECT(ADDRESS(18,6)))</f>
        <v>-8</v>
      </c>
      <c r="H13" s="22">
        <f ca="1">IF(LEN(INDIRECT(ADDRESS(ROW()-1, COLUMN())))=1,"",INDIRECT(ADDRESS(22,6))-INDIRECT(ADDRESS(22,7)))</f>
        <v>4</v>
      </c>
      <c r="I13" s="22">
        <f ca="1">IF(LEN(INDIRECT(ADDRESS(ROW()-1, COLUMN())))=1,"",INDIRECT(ADDRESS(27,7))-INDIRECT(ADDRESS(27,6)))</f>
        <v>11</v>
      </c>
      <c r="J13" s="23" t="s">
        <v>4</v>
      </c>
      <c r="K13" s="82"/>
      <c r="L13" s="22">
        <f ca="1">IF(COUNT(F13:J13)=0,"",SUM(F13:J13))</f>
        <v>-6</v>
      </c>
      <c r="M13" s="83"/>
    </row>
    <row r="14" spans="2:13" customFormat="1" x14ac:dyDescent="0.25"/>
    <row r="15" spans="2:13" customFormat="1" x14ac:dyDescent="0.25"/>
    <row r="16" spans="2:13" customFormat="1" x14ac:dyDescent="0.25"/>
    <row r="17" spans="1:13" s="25" customFormat="1" ht="21.75" thickBot="1" x14ac:dyDescent="0.4">
      <c r="A17" s="24"/>
      <c r="B17" s="52" t="s">
        <v>5</v>
      </c>
      <c r="C17" s="52"/>
      <c r="D17" s="52"/>
      <c r="E17" s="52"/>
      <c r="F17" s="52"/>
      <c r="G17" s="52"/>
      <c r="H17" s="52"/>
      <c r="I17" s="52"/>
      <c r="J17" s="52"/>
      <c r="K17" s="52"/>
      <c r="M17" s="34"/>
    </row>
    <row r="18" spans="1:13" s="25" customFormat="1" ht="21.75" thickBot="1" x14ac:dyDescent="0.4">
      <c r="A18" s="24"/>
      <c r="B18" s="26">
        <v>2</v>
      </c>
      <c r="C18" s="49" t="str">
        <f ca="1">IF(ISBLANK(INDIRECT(ADDRESS(B18*2+2,3))),"",INDIRECT(ADDRESS(B18*2+2,3)))</f>
        <v>Коппа, Буштрук</v>
      </c>
      <c r="D18" s="49"/>
      <c r="E18" s="50"/>
      <c r="F18" s="27">
        <v>13</v>
      </c>
      <c r="G18" s="28">
        <v>5</v>
      </c>
      <c r="H18" s="51" t="str">
        <f ca="1">IF(ISBLANK(INDIRECT(ADDRESS(K18*2+2,3))),"",INDIRECT(ADDRESS(K18*2+2,3)))</f>
        <v>Головко, Земцов</v>
      </c>
      <c r="I18" s="49"/>
      <c r="J18" s="49"/>
      <c r="K18" s="26">
        <v>5</v>
      </c>
      <c r="L18" s="29" t="s">
        <v>6</v>
      </c>
      <c r="M18" s="45">
        <v>5</v>
      </c>
    </row>
    <row r="19" spans="1:13" s="25" customFormat="1" ht="21.75" thickBot="1" x14ac:dyDescent="0.4">
      <c r="A19" s="24"/>
      <c r="B19" s="26">
        <v>3</v>
      </c>
      <c r="C19" s="49" t="str">
        <f ca="1">IF(ISBLANK(INDIRECT(ADDRESS(B19*2+2,3))),"",INDIRECT(ADDRESS(B19*2+2,3)))</f>
        <v>Кирменская, Вахрушев</v>
      </c>
      <c r="D19" s="49"/>
      <c r="E19" s="50"/>
      <c r="F19" s="27">
        <v>6</v>
      </c>
      <c r="G19" s="28">
        <v>12</v>
      </c>
      <c r="H19" s="51" t="str">
        <f ca="1">IF(ISBLANK(INDIRECT(ADDRESS(K19*2+2,3))),"",INDIRECT(ADDRESS(K19*2+2,3)))</f>
        <v>Коргунова, Энжольрас</v>
      </c>
      <c r="I19" s="49"/>
      <c r="J19" s="49"/>
      <c r="K19" s="26">
        <v>4</v>
      </c>
      <c r="L19" s="29" t="s">
        <v>6</v>
      </c>
      <c r="M19" s="45">
        <v>6</v>
      </c>
    </row>
    <row r="20" spans="1:13" s="25" customFormat="1" ht="21" x14ac:dyDescent="0.35">
      <c r="A20" s="24"/>
      <c r="M20" s="31"/>
    </row>
    <row r="21" spans="1:13" s="25" customFormat="1" ht="21.75" thickBot="1" x14ac:dyDescent="0.4">
      <c r="A21" s="24"/>
      <c r="B21" s="52" t="s">
        <v>7</v>
      </c>
      <c r="C21" s="52"/>
      <c r="D21" s="52"/>
      <c r="E21" s="52"/>
      <c r="F21" s="52"/>
      <c r="G21" s="52"/>
      <c r="H21" s="52"/>
      <c r="I21" s="52"/>
      <c r="J21" s="52"/>
      <c r="K21" s="52"/>
      <c r="M21" s="31"/>
    </row>
    <row r="22" spans="1:13" s="25" customFormat="1" ht="21.75" thickBot="1" x14ac:dyDescent="0.4">
      <c r="A22" s="24"/>
      <c r="B22" s="26">
        <v>5</v>
      </c>
      <c r="C22" s="49" t="str">
        <f ca="1">IF(ISBLANK(INDIRECT(ADDRESS(B22*2+2,3))),"",INDIRECT(ADDRESS(B22*2+2,3)))</f>
        <v>Головко, Земцов</v>
      </c>
      <c r="D22" s="49"/>
      <c r="E22" s="50"/>
      <c r="F22" s="27">
        <v>10</v>
      </c>
      <c r="G22" s="28">
        <v>6</v>
      </c>
      <c r="H22" s="51" t="str">
        <f ca="1">IF(ISBLANK(INDIRECT(ADDRESS(K22*2+2,3))),"",INDIRECT(ADDRESS(K22*2+2,3)))</f>
        <v>Кирменская, Вахрушев</v>
      </c>
      <c r="I22" s="49"/>
      <c r="J22" s="49"/>
      <c r="K22" s="26">
        <v>3</v>
      </c>
      <c r="L22" s="29" t="s">
        <v>6</v>
      </c>
      <c r="M22" s="45">
        <v>7</v>
      </c>
    </row>
    <row r="23" spans="1:13" s="25" customFormat="1" ht="21.75" thickBot="1" x14ac:dyDescent="0.4">
      <c r="A23" s="24"/>
      <c r="B23" s="26">
        <v>1</v>
      </c>
      <c r="C23" s="49" t="str">
        <f ca="1">IF(ISBLANK(INDIRECT(ADDRESS(B23*2+2,3))),"",INDIRECT(ADDRESS(B23*2+2,3)))</f>
        <v>Петрушко</v>
      </c>
      <c r="D23" s="49"/>
      <c r="E23" s="50"/>
      <c r="F23" s="27">
        <v>13</v>
      </c>
      <c r="G23" s="28">
        <v>5</v>
      </c>
      <c r="H23" s="51" t="str">
        <f ca="1">IF(ISBLANK(INDIRECT(ADDRESS(K23*2+2,3))),"",INDIRECT(ADDRESS(K23*2+2,3)))</f>
        <v>Коппа, Буштрук</v>
      </c>
      <c r="I23" s="49"/>
      <c r="J23" s="49"/>
      <c r="K23" s="26">
        <v>2</v>
      </c>
      <c r="L23" s="29" t="s">
        <v>6</v>
      </c>
      <c r="M23" s="45">
        <v>8</v>
      </c>
    </row>
    <row r="24" spans="1:13" s="25" customFormat="1" ht="21" x14ac:dyDescent="0.35">
      <c r="A24" s="24"/>
      <c r="M24" s="31"/>
    </row>
    <row r="25" spans="1:13" s="25" customFormat="1" ht="21.75" thickBot="1" x14ac:dyDescent="0.4">
      <c r="A25" s="24"/>
      <c r="B25" s="52" t="s">
        <v>8</v>
      </c>
      <c r="C25" s="52"/>
      <c r="D25" s="52"/>
      <c r="E25" s="52"/>
      <c r="F25" s="52"/>
      <c r="G25" s="52"/>
      <c r="H25" s="52"/>
      <c r="I25" s="52"/>
      <c r="J25" s="52"/>
      <c r="K25" s="52"/>
      <c r="M25" s="31"/>
    </row>
    <row r="26" spans="1:13" s="25" customFormat="1" ht="21.75" thickBot="1" x14ac:dyDescent="0.4">
      <c r="A26" s="24"/>
      <c r="B26" s="26">
        <v>3</v>
      </c>
      <c r="C26" s="49" t="str">
        <f ca="1">IF(ISBLANK(INDIRECT(ADDRESS(B26*2+2,3))),"",INDIRECT(ADDRESS(B26*2+2,3)))</f>
        <v>Кирменская, Вахрушев</v>
      </c>
      <c r="D26" s="49"/>
      <c r="E26" s="50"/>
      <c r="F26" s="27">
        <v>6</v>
      </c>
      <c r="G26" s="28">
        <v>13</v>
      </c>
      <c r="H26" s="51" t="str">
        <f ca="1">IF(ISBLANK(INDIRECT(ADDRESS(K26*2+2,3))),"",INDIRECT(ADDRESS(K26*2+2,3)))</f>
        <v>Петрушко</v>
      </c>
      <c r="I26" s="49"/>
      <c r="J26" s="49"/>
      <c r="K26" s="26">
        <v>1</v>
      </c>
      <c r="L26" s="29" t="s">
        <v>6</v>
      </c>
      <c r="M26" s="45">
        <v>3</v>
      </c>
    </row>
    <row r="27" spans="1:13" s="25" customFormat="1" ht="21.75" thickBot="1" x14ac:dyDescent="0.4">
      <c r="A27" s="24"/>
      <c r="B27" s="26">
        <v>4</v>
      </c>
      <c r="C27" s="49" t="str">
        <f ca="1">IF(ISBLANK(INDIRECT(ADDRESS(B27*2+2,3))),"",INDIRECT(ADDRESS(B27*2+2,3)))</f>
        <v>Коргунова, Энжольрас</v>
      </c>
      <c r="D27" s="49"/>
      <c r="E27" s="50"/>
      <c r="F27" s="27">
        <v>2</v>
      </c>
      <c r="G27" s="28">
        <v>13</v>
      </c>
      <c r="H27" s="51" t="str">
        <f ca="1">IF(ISBLANK(INDIRECT(ADDRESS(K27*2+2,3))),"",INDIRECT(ADDRESS(K27*2+2,3)))</f>
        <v>Головко, Земцов</v>
      </c>
      <c r="I27" s="49"/>
      <c r="J27" s="49"/>
      <c r="K27" s="26">
        <v>5</v>
      </c>
      <c r="L27" s="29" t="s">
        <v>6</v>
      </c>
      <c r="M27" s="45">
        <v>4</v>
      </c>
    </row>
    <row r="28" spans="1:13" s="25" customFormat="1" ht="21" x14ac:dyDescent="0.35">
      <c r="A28" s="24"/>
      <c r="M28" s="31"/>
    </row>
    <row r="29" spans="1:13" s="25" customFormat="1" ht="21.75" thickBot="1" x14ac:dyDescent="0.4">
      <c r="A29" s="24"/>
      <c r="B29" s="52" t="s">
        <v>9</v>
      </c>
      <c r="C29" s="52"/>
      <c r="D29" s="52"/>
      <c r="E29" s="52"/>
      <c r="F29" s="52"/>
      <c r="G29" s="52"/>
      <c r="H29" s="52"/>
      <c r="I29" s="52"/>
      <c r="J29" s="52"/>
      <c r="K29" s="52"/>
      <c r="M29" s="31"/>
    </row>
    <row r="30" spans="1:13" s="25" customFormat="1" ht="21.75" thickBot="1" x14ac:dyDescent="0.4">
      <c r="A30" s="24"/>
      <c r="B30" s="26">
        <v>1</v>
      </c>
      <c r="C30" s="49" t="str">
        <f ca="1">IF(ISBLANK(INDIRECT(ADDRESS(B30*2+2,3))),"",INDIRECT(ADDRESS(B30*2+2,3)))</f>
        <v>Петрушко</v>
      </c>
      <c r="D30" s="49"/>
      <c r="E30" s="50"/>
      <c r="F30" s="27">
        <v>4</v>
      </c>
      <c r="G30" s="28">
        <v>13</v>
      </c>
      <c r="H30" s="51" t="str">
        <f ca="1">IF(ISBLANK(INDIRECT(ADDRESS(K30*2+2,3))),"",INDIRECT(ADDRESS(K30*2+2,3)))</f>
        <v>Коргунова, Энжольрас</v>
      </c>
      <c r="I30" s="49"/>
      <c r="J30" s="49"/>
      <c r="K30" s="26">
        <v>4</v>
      </c>
      <c r="L30" s="29" t="s">
        <v>6</v>
      </c>
      <c r="M30" s="45">
        <v>5</v>
      </c>
    </row>
    <row r="31" spans="1:13" s="25" customFormat="1" ht="21.75" thickBot="1" x14ac:dyDescent="0.4">
      <c r="A31" s="24"/>
      <c r="B31" s="26">
        <v>2</v>
      </c>
      <c r="C31" s="49" t="str">
        <f ca="1">IF(ISBLANK(INDIRECT(ADDRESS(B31*2+2,3))),"",INDIRECT(ADDRESS(B31*2+2,3)))</f>
        <v>Коппа, Буштрук</v>
      </c>
      <c r="D31" s="49"/>
      <c r="E31" s="50"/>
      <c r="F31" s="27">
        <v>0</v>
      </c>
      <c r="G31" s="28">
        <v>12</v>
      </c>
      <c r="H31" s="51" t="str">
        <f ca="1">IF(ISBLANK(INDIRECT(ADDRESS(K31*2+2,3))),"",INDIRECT(ADDRESS(K31*2+2,3)))</f>
        <v>Кирменская, Вахрушев</v>
      </c>
      <c r="I31" s="49"/>
      <c r="J31" s="49"/>
      <c r="K31" s="26">
        <v>3</v>
      </c>
      <c r="L31" s="29" t="s">
        <v>6</v>
      </c>
      <c r="M31" s="45">
        <v>6</v>
      </c>
    </row>
    <row r="32" spans="1:13" s="25" customFormat="1" ht="21" x14ac:dyDescent="0.35">
      <c r="A32" s="24"/>
      <c r="M32" s="31"/>
    </row>
    <row r="33" spans="1:13" s="25" customFormat="1" ht="21.75" thickBot="1" x14ac:dyDescent="0.4">
      <c r="A33" s="24"/>
      <c r="B33" s="52" t="s">
        <v>10</v>
      </c>
      <c r="C33" s="52"/>
      <c r="D33" s="52"/>
      <c r="E33" s="52"/>
      <c r="F33" s="52"/>
      <c r="G33" s="52"/>
      <c r="H33" s="52"/>
      <c r="I33" s="52"/>
      <c r="J33" s="52"/>
      <c r="K33" s="52"/>
      <c r="M33" s="31"/>
    </row>
    <row r="34" spans="1:13" s="25" customFormat="1" ht="21.75" thickBot="1" x14ac:dyDescent="0.4">
      <c r="A34" s="24"/>
      <c r="B34" s="26">
        <v>4</v>
      </c>
      <c r="C34" s="49" t="str">
        <f ca="1">IF(ISBLANK(INDIRECT(ADDRESS(B34*2+2,3))),"",INDIRECT(ADDRESS(B34*2+2,3)))</f>
        <v>Коргунова, Энжольрас</v>
      </c>
      <c r="D34" s="49"/>
      <c r="E34" s="50"/>
      <c r="F34" s="27">
        <v>13</v>
      </c>
      <c r="G34" s="28">
        <v>9</v>
      </c>
      <c r="H34" s="51" t="str">
        <f ca="1">IF(ISBLANK(INDIRECT(ADDRESS(K34*2+2,3))),"",INDIRECT(ADDRESS(K34*2+2,3)))</f>
        <v>Коппа, Буштрук</v>
      </c>
      <c r="I34" s="49"/>
      <c r="J34" s="49"/>
      <c r="K34" s="26">
        <v>2</v>
      </c>
      <c r="L34" s="29" t="s">
        <v>6</v>
      </c>
      <c r="M34" s="45">
        <v>1</v>
      </c>
    </row>
    <row r="35" spans="1:13" s="25" customFormat="1" ht="21.75" thickBot="1" x14ac:dyDescent="0.4">
      <c r="A35" s="24"/>
      <c r="B35" s="26">
        <v>5</v>
      </c>
      <c r="C35" s="49" t="str">
        <f ca="1">IF(ISBLANK(INDIRECT(ADDRESS(B35*2+2,3))),"",INDIRECT(ADDRESS(B35*2+2,3)))</f>
        <v>Головко, Земцов</v>
      </c>
      <c r="D35" s="49"/>
      <c r="E35" s="50"/>
      <c r="F35" s="27">
        <v>0</v>
      </c>
      <c r="G35" s="28">
        <v>13</v>
      </c>
      <c r="H35" s="51" t="str">
        <f ca="1">IF(ISBLANK(INDIRECT(ADDRESS(K35*2+2,3))),"",INDIRECT(ADDRESS(K35*2+2,3)))</f>
        <v>Петрушко</v>
      </c>
      <c r="I35" s="49"/>
      <c r="J35" s="49"/>
      <c r="K35" s="26">
        <v>1</v>
      </c>
      <c r="L35" s="29" t="s">
        <v>6</v>
      </c>
      <c r="M35" s="45">
        <v>2</v>
      </c>
    </row>
  </sheetData>
  <mergeCells count="47">
    <mergeCell ref="M4:M5"/>
    <mergeCell ref="B1:K1"/>
    <mergeCell ref="C3:E3"/>
    <mergeCell ref="B4:B5"/>
    <mergeCell ref="C4:E5"/>
    <mergeCell ref="K4:K5"/>
    <mergeCell ref="M10:M11"/>
    <mergeCell ref="K12:K13"/>
    <mergeCell ref="M12:M13"/>
    <mergeCell ref="B6:B7"/>
    <mergeCell ref="C6:E7"/>
    <mergeCell ref="B8:B9"/>
    <mergeCell ref="C8:E9"/>
    <mergeCell ref="K6:K7"/>
    <mergeCell ref="M6:M7"/>
    <mergeCell ref="K8:K9"/>
    <mergeCell ref="M8:M9"/>
    <mergeCell ref="B10:B11"/>
    <mergeCell ref="C10:E11"/>
    <mergeCell ref="B12:B13"/>
    <mergeCell ref="C12:E13"/>
    <mergeCell ref="K10:K11"/>
    <mergeCell ref="C22:E22"/>
    <mergeCell ref="H22:J22"/>
    <mergeCell ref="B17:K17"/>
    <mergeCell ref="C18:E18"/>
    <mergeCell ref="H18:J18"/>
    <mergeCell ref="C19:E19"/>
    <mergeCell ref="H19:J19"/>
    <mergeCell ref="B21:K21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23:E23"/>
    <mergeCell ref="H23:J23"/>
    <mergeCell ref="B25:K25"/>
    <mergeCell ref="B33:K33"/>
    <mergeCell ref="C34:E34"/>
    <mergeCell ref="H34:J34"/>
  </mergeCells>
  <pageMargins left="0.25" right="0.25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P13" sqref="P13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5" customWidth="1"/>
    <col min="14" max="15" width="10.28515625" customWidth="1"/>
  </cols>
  <sheetData>
    <row r="1" spans="2:13" customFormat="1" ht="31.5" x14ac:dyDescent="0.25">
      <c r="B1" s="71" t="s">
        <v>12</v>
      </c>
      <c r="C1" s="71"/>
      <c r="D1" s="71"/>
      <c r="E1" s="71"/>
      <c r="F1" s="71"/>
      <c r="G1" s="71"/>
      <c r="H1" s="71"/>
      <c r="I1" s="71"/>
      <c r="J1" s="71"/>
      <c r="K1" s="71"/>
    </row>
    <row r="2" spans="2:13" customFormat="1" ht="15.75" thickBot="1" x14ac:dyDescent="0.3"/>
    <row r="3" spans="2:13" customFormat="1" ht="15.75" thickBot="1" x14ac:dyDescent="0.3">
      <c r="B3" s="2"/>
      <c r="C3" s="72" t="s">
        <v>0</v>
      </c>
      <c r="D3" s="73"/>
      <c r="E3" s="74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33" t="s">
        <v>3</v>
      </c>
    </row>
    <row r="4" spans="2:13" customFormat="1" ht="21" x14ac:dyDescent="0.25">
      <c r="B4" s="75">
        <v>1</v>
      </c>
      <c r="C4" s="76" t="s">
        <v>40</v>
      </c>
      <c r="D4" s="77"/>
      <c r="E4" s="78"/>
      <c r="F4" s="7" t="s">
        <v>4</v>
      </c>
      <c r="G4" s="8" t="str">
        <f ca="1">INDIRECT(ADDRESS(23,6))&amp;":"&amp;INDIRECT(ADDRESS(23,7))</f>
        <v>13:3</v>
      </c>
      <c r="H4" s="8" t="str">
        <f ca="1">INDIRECT(ADDRESS(26,7))&amp;":"&amp;INDIRECT(ADDRESS(26,6))</f>
        <v>0:13</v>
      </c>
      <c r="I4" s="8" t="str">
        <f ca="1">INDIRECT(ADDRESS(30,6))&amp;":"&amp;INDIRECT(ADDRESS(30,7))</f>
        <v>12:7</v>
      </c>
      <c r="J4" s="9" t="str">
        <f ca="1">INDIRECT(ADDRESS(35,7))&amp;":"&amp;INDIRECT(ADDRESS(35,6))</f>
        <v>10:6</v>
      </c>
      <c r="K4" s="85">
        <f ca="1">IF(COUNT(F5:J5)=0,"",COUNTIF(F5:J5,"&gt;0")+0.5*COUNTIF(F5:J5,0))</f>
        <v>3</v>
      </c>
      <c r="L4" s="10"/>
      <c r="M4" s="84">
        <v>2</v>
      </c>
    </row>
    <row r="5" spans="2:13" customFormat="1" ht="21" x14ac:dyDescent="0.25">
      <c r="B5" s="65"/>
      <c r="C5" s="67"/>
      <c r="D5" s="68"/>
      <c r="E5" s="69"/>
      <c r="F5" s="11" t="s">
        <v>4</v>
      </c>
      <c r="G5" s="12">
        <f ca="1">IF(LEN(INDIRECT(ADDRESS(ROW()-1, COLUMN())))=1,"",INDIRECT(ADDRESS(23,6))-INDIRECT(ADDRESS(23,7)))</f>
        <v>10</v>
      </c>
      <c r="H5" s="12">
        <f ca="1">IF(LEN(INDIRECT(ADDRESS(ROW()-1, COLUMN())))=1,"",INDIRECT(ADDRESS(26,7))-INDIRECT(ADDRESS(26,6)))</f>
        <v>-13</v>
      </c>
      <c r="I5" s="12">
        <f ca="1">IF(LEN(INDIRECT(ADDRESS(ROW()-1, COLUMN())))=1,"",INDIRECT(ADDRESS(30,6))-INDIRECT(ADDRESS(30,7)))</f>
        <v>5</v>
      </c>
      <c r="J5" s="13">
        <f ca="1">IF(LEN(INDIRECT(ADDRESS(ROW()-1, COLUMN())))=1,"",INDIRECT(ADDRESS(35,7))-INDIRECT(ADDRESS(35,6)))</f>
        <v>4</v>
      </c>
      <c r="K5" s="81"/>
      <c r="L5" s="12">
        <f ca="1">IF(COUNT(F5:J5)=0,"",SUM(F5:J5))</f>
        <v>6</v>
      </c>
      <c r="M5" s="80"/>
    </row>
    <row r="6" spans="2:13" customFormat="1" ht="21" x14ac:dyDescent="0.25">
      <c r="B6" s="53">
        <v>2</v>
      </c>
      <c r="C6" s="55" t="s">
        <v>41</v>
      </c>
      <c r="D6" s="56"/>
      <c r="E6" s="57"/>
      <c r="F6" s="14" t="str">
        <f ca="1">INDIRECT(ADDRESS(23,7))&amp;":"&amp;INDIRECT(ADDRESS(23,6))</f>
        <v>3:13</v>
      </c>
      <c r="G6" s="15" t="s">
        <v>4</v>
      </c>
      <c r="H6" s="16" t="str">
        <f ca="1">INDIRECT(ADDRESS(31,6))&amp;":"&amp;INDIRECT(ADDRESS(31,7))</f>
        <v>8:9</v>
      </c>
      <c r="I6" s="16" t="str">
        <f ca="1">INDIRECT(ADDRESS(34,7))&amp;":"&amp;INDIRECT(ADDRESS(34,6))</f>
        <v>6:12</v>
      </c>
      <c r="J6" s="17" t="str">
        <f ca="1">INDIRECT(ADDRESS(18,6))&amp;":"&amp;INDIRECT(ADDRESS(18,7))</f>
        <v>4:13</v>
      </c>
      <c r="K6" s="81">
        <f ca="1">IF(COUNT(F7:J7)=0,"",COUNTIF(F7:J7,"&gt;0")+0.5*COUNTIF(F7:J7,0))</f>
        <v>0</v>
      </c>
      <c r="L6" s="12"/>
      <c r="M6" s="80">
        <v>5</v>
      </c>
    </row>
    <row r="7" spans="2:13" customFormat="1" ht="21" x14ac:dyDescent="0.25">
      <c r="B7" s="65"/>
      <c r="C7" s="55"/>
      <c r="D7" s="56"/>
      <c r="E7" s="57"/>
      <c r="F7" s="18">
        <f ca="1">IF(LEN(INDIRECT(ADDRESS(ROW()-1, COLUMN())))=1,"",INDIRECT(ADDRESS(23,7))-INDIRECT(ADDRESS(23,6)))</f>
        <v>-10</v>
      </c>
      <c r="G7" s="19" t="s">
        <v>4</v>
      </c>
      <c r="H7" s="12">
        <f ca="1">IF(LEN(INDIRECT(ADDRESS(ROW()-1, COLUMN())))=1,"",INDIRECT(ADDRESS(31,6))-INDIRECT(ADDRESS(31,7)))</f>
        <v>-1</v>
      </c>
      <c r="I7" s="12">
        <f ca="1">IF(LEN(INDIRECT(ADDRESS(ROW()-1, COLUMN())))=1,"",INDIRECT(ADDRESS(34,7))-INDIRECT(ADDRESS(34,6)))</f>
        <v>-6</v>
      </c>
      <c r="J7" s="13">
        <f ca="1">IF(LEN(INDIRECT(ADDRESS(ROW()-1, COLUMN())))=1,"",INDIRECT(ADDRESS(18,6))-INDIRECT(ADDRESS(18,7)))</f>
        <v>-9</v>
      </c>
      <c r="K7" s="81"/>
      <c r="L7" s="12">
        <f ca="1">IF(COUNT(F7:J7)=0,"",SUM(F7:J7))</f>
        <v>-26</v>
      </c>
      <c r="M7" s="80"/>
    </row>
    <row r="8" spans="2:13" customFormat="1" ht="21" x14ac:dyDescent="0.25">
      <c r="B8" s="53">
        <v>3</v>
      </c>
      <c r="C8" s="67" t="s">
        <v>42</v>
      </c>
      <c r="D8" s="68"/>
      <c r="E8" s="69"/>
      <c r="F8" s="14" t="str">
        <f ca="1">INDIRECT(ADDRESS(26,6))&amp;":"&amp;INDIRECT(ADDRESS(26,7))</f>
        <v>13:0</v>
      </c>
      <c r="G8" s="16" t="str">
        <f ca="1">INDIRECT(ADDRESS(31,7))&amp;":"&amp;INDIRECT(ADDRESS(31,6))</f>
        <v>9:8</v>
      </c>
      <c r="H8" s="15" t="s">
        <v>4</v>
      </c>
      <c r="I8" s="16" t="str">
        <f ca="1">INDIRECT(ADDRESS(19,6))&amp;":"&amp;INDIRECT(ADDRESS(19,7))</f>
        <v>13:5</v>
      </c>
      <c r="J8" s="17" t="str">
        <f ca="1">INDIRECT(ADDRESS(22,7))&amp;":"&amp;INDIRECT(ADDRESS(22,6))</f>
        <v>12:7</v>
      </c>
      <c r="K8" s="81">
        <f ca="1">IF(COUNT(F9:J9)=0,"",COUNTIF(F9:J9,"&gt;0")+0.5*COUNTIF(F9:J9,0))</f>
        <v>4</v>
      </c>
      <c r="L8" s="12"/>
      <c r="M8" s="80">
        <v>1</v>
      </c>
    </row>
    <row r="9" spans="2:13" customFormat="1" ht="21" x14ac:dyDescent="0.25">
      <c r="B9" s="65"/>
      <c r="C9" s="67"/>
      <c r="D9" s="68"/>
      <c r="E9" s="69"/>
      <c r="F9" s="18">
        <f ca="1">IF(LEN(INDIRECT(ADDRESS(ROW()-1, COLUMN())))=1,"",INDIRECT(ADDRESS(26,6))-INDIRECT(ADDRESS(26,7)))</f>
        <v>13</v>
      </c>
      <c r="G9" s="12">
        <f ca="1">IF(LEN(INDIRECT(ADDRESS(ROW()-1, COLUMN())))=1,"",INDIRECT(ADDRESS(31,7))-INDIRECT(ADDRESS(31,6)))</f>
        <v>1</v>
      </c>
      <c r="H9" s="19" t="s">
        <v>4</v>
      </c>
      <c r="I9" s="12">
        <f ca="1">IF(LEN(INDIRECT(ADDRESS(ROW()-1, COLUMN())))=1,"",INDIRECT(ADDRESS(19,6))-INDIRECT(ADDRESS(19,7)))</f>
        <v>8</v>
      </c>
      <c r="J9" s="13">
        <f ca="1">IF(LEN(INDIRECT(ADDRESS(ROW()-1, COLUMN())))=1,"",INDIRECT(ADDRESS(22,7))-INDIRECT(ADDRESS(22,6)))</f>
        <v>5</v>
      </c>
      <c r="K9" s="81"/>
      <c r="L9" s="12">
        <f ca="1">IF(COUNT(F9:J9)=0,"",SUM(F9:J9))</f>
        <v>27</v>
      </c>
      <c r="M9" s="80"/>
    </row>
    <row r="10" spans="2:13" customFormat="1" ht="21" x14ac:dyDescent="0.25">
      <c r="B10" s="53">
        <v>4</v>
      </c>
      <c r="C10" s="55" t="s">
        <v>43</v>
      </c>
      <c r="D10" s="56"/>
      <c r="E10" s="57"/>
      <c r="F10" s="14" t="str">
        <f ca="1">INDIRECT(ADDRESS(30,7))&amp;":"&amp;INDIRECT(ADDRESS(30,6))</f>
        <v>7:12</v>
      </c>
      <c r="G10" s="16" t="str">
        <f ca="1">INDIRECT(ADDRESS(34,6))&amp;":"&amp;INDIRECT(ADDRESS(34,7))</f>
        <v>12:6</v>
      </c>
      <c r="H10" s="16" t="str">
        <f ca="1">INDIRECT(ADDRESS(19,7))&amp;":"&amp;INDIRECT(ADDRESS(19,6))</f>
        <v>5:13</v>
      </c>
      <c r="I10" s="15" t="s">
        <v>4</v>
      </c>
      <c r="J10" s="17" t="str">
        <f ca="1">INDIRECT(ADDRESS(27,6))&amp;":"&amp;INDIRECT(ADDRESS(27,7))</f>
        <v>8:13</v>
      </c>
      <c r="K10" s="81">
        <f ca="1">IF(COUNT(F11:J11)=0,"",COUNTIF(F11:J11,"&gt;0")+0.5*COUNTIF(F11:J11,0))</f>
        <v>1</v>
      </c>
      <c r="L10" s="12"/>
      <c r="M10" s="80">
        <v>4</v>
      </c>
    </row>
    <row r="11" spans="2:13" customFormat="1" ht="21" x14ac:dyDescent="0.25">
      <c r="B11" s="65"/>
      <c r="C11" s="55"/>
      <c r="D11" s="56"/>
      <c r="E11" s="57"/>
      <c r="F11" s="18">
        <f ca="1">IF(LEN(INDIRECT(ADDRESS(ROW()-1, COLUMN())))=1,"",INDIRECT(ADDRESS(30,7))-INDIRECT(ADDRESS(30,6)))</f>
        <v>-5</v>
      </c>
      <c r="G11" s="12">
        <f ca="1">IF(LEN(INDIRECT(ADDRESS(ROW()-1, COLUMN())))=1,"",INDIRECT(ADDRESS(34,6))-INDIRECT(ADDRESS(34,7)))</f>
        <v>6</v>
      </c>
      <c r="H11" s="12">
        <f ca="1">IF(LEN(INDIRECT(ADDRESS(ROW()-1, COLUMN())))=1,"",INDIRECT(ADDRESS(19,7))-INDIRECT(ADDRESS(19,6)))</f>
        <v>-8</v>
      </c>
      <c r="I11" s="19" t="s">
        <v>4</v>
      </c>
      <c r="J11" s="13">
        <f ca="1">IF(LEN(INDIRECT(ADDRESS(ROW()-1, COLUMN())))=1,"",INDIRECT(ADDRESS(27,6))-INDIRECT(ADDRESS(27,7)))</f>
        <v>-5</v>
      </c>
      <c r="K11" s="81"/>
      <c r="L11" s="12">
        <f ca="1">IF(COUNT(F11:J11)=0,"",SUM(F11:J11))</f>
        <v>-12</v>
      </c>
      <c r="M11" s="80"/>
    </row>
    <row r="12" spans="2:13" customFormat="1" ht="21" x14ac:dyDescent="0.25">
      <c r="B12" s="53">
        <v>5</v>
      </c>
      <c r="C12" s="55" t="s">
        <v>44</v>
      </c>
      <c r="D12" s="56"/>
      <c r="E12" s="57"/>
      <c r="F12" s="14" t="str">
        <f ca="1">INDIRECT(ADDRESS(35,6))&amp;":"&amp;INDIRECT(ADDRESS(35,7))</f>
        <v>6:10</v>
      </c>
      <c r="G12" s="16" t="str">
        <f ca="1">INDIRECT(ADDRESS(18,7))&amp;":"&amp;INDIRECT(ADDRESS(18,6))</f>
        <v>13:4</v>
      </c>
      <c r="H12" s="16" t="str">
        <f ca="1">INDIRECT(ADDRESS(22,6))&amp;":"&amp;INDIRECT(ADDRESS(22,7))</f>
        <v>7:12</v>
      </c>
      <c r="I12" s="16" t="str">
        <f ca="1">INDIRECT(ADDRESS(27,7))&amp;":"&amp;INDIRECT(ADDRESS(27,6))</f>
        <v>13:8</v>
      </c>
      <c r="J12" s="20" t="s">
        <v>4</v>
      </c>
      <c r="K12" s="81">
        <f ca="1">IF(COUNT(F13:J13)=0,"",COUNTIF(F13:J13,"&gt;0")+0.5*COUNTIF(F13:J13,0))</f>
        <v>2</v>
      </c>
      <c r="L12" s="12"/>
      <c r="M12" s="80">
        <v>3</v>
      </c>
    </row>
    <row r="13" spans="2:13" customFormat="1" ht="21.75" thickBot="1" x14ac:dyDescent="0.3">
      <c r="B13" s="54"/>
      <c r="C13" s="58"/>
      <c r="D13" s="59"/>
      <c r="E13" s="60"/>
      <c r="F13" s="21">
        <f ca="1">IF(LEN(INDIRECT(ADDRESS(ROW()-1, COLUMN())))=1,"",INDIRECT(ADDRESS(35,6))-INDIRECT(ADDRESS(35,7)))</f>
        <v>-4</v>
      </c>
      <c r="G13" s="22">
        <f ca="1">IF(LEN(INDIRECT(ADDRESS(ROW()-1, COLUMN())))=1,"",INDIRECT(ADDRESS(18,7))-INDIRECT(ADDRESS(18,6)))</f>
        <v>9</v>
      </c>
      <c r="H13" s="22">
        <f ca="1">IF(LEN(INDIRECT(ADDRESS(ROW()-1, COLUMN())))=1,"",INDIRECT(ADDRESS(22,6))-INDIRECT(ADDRESS(22,7)))</f>
        <v>-5</v>
      </c>
      <c r="I13" s="22">
        <f ca="1">IF(LEN(INDIRECT(ADDRESS(ROW()-1, COLUMN())))=1,"",INDIRECT(ADDRESS(27,7))-INDIRECT(ADDRESS(27,6)))</f>
        <v>5</v>
      </c>
      <c r="J13" s="23" t="s">
        <v>4</v>
      </c>
      <c r="K13" s="82"/>
      <c r="L13" s="22">
        <f ca="1">IF(COUNT(F13:J13)=0,"",SUM(F13:J13))</f>
        <v>5</v>
      </c>
      <c r="M13" s="83"/>
    </row>
    <row r="14" spans="2:13" customFormat="1" x14ac:dyDescent="0.25"/>
    <row r="15" spans="2:13" customFormat="1" x14ac:dyDescent="0.25"/>
    <row r="16" spans="2:13" customFormat="1" x14ac:dyDescent="0.25"/>
    <row r="17" spans="1:13" s="25" customFormat="1" ht="21.75" thickBot="1" x14ac:dyDescent="0.4">
      <c r="A17" s="24"/>
      <c r="B17" s="52" t="s">
        <v>5</v>
      </c>
      <c r="C17" s="52"/>
      <c r="D17" s="52"/>
      <c r="E17" s="52"/>
      <c r="F17" s="52"/>
      <c r="G17" s="52"/>
      <c r="H17" s="52"/>
      <c r="I17" s="52"/>
      <c r="J17" s="52"/>
      <c r="K17" s="52"/>
      <c r="M17" s="34"/>
    </row>
    <row r="18" spans="1:13" s="25" customFormat="1" ht="21.75" thickBot="1" x14ac:dyDescent="0.4">
      <c r="A18" s="24"/>
      <c r="B18" s="26">
        <v>2</v>
      </c>
      <c r="C18" s="49" t="str">
        <f ca="1">IF(ISBLANK(INDIRECT(ADDRESS(B18*2+2,3))),"",INDIRECT(ADDRESS(B18*2+2,3)))</f>
        <v>Кузнецова, Петраков</v>
      </c>
      <c r="D18" s="49"/>
      <c r="E18" s="50"/>
      <c r="F18" s="27">
        <v>4</v>
      </c>
      <c r="G18" s="28">
        <v>13</v>
      </c>
      <c r="H18" s="51" t="str">
        <f ca="1">IF(ISBLANK(INDIRECT(ADDRESS(K18*2+2,3))),"",INDIRECT(ADDRESS(K18*2+2,3)))</f>
        <v>Березнеговская, Кувакин</v>
      </c>
      <c r="I18" s="49"/>
      <c r="J18" s="49"/>
      <c r="K18" s="26">
        <v>5</v>
      </c>
      <c r="L18" s="29" t="s">
        <v>6</v>
      </c>
      <c r="M18" s="30">
        <v>7</v>
      </c>
    </row>
    <row r="19" spans="1:13" s="25" customFormat="1" ht="21.75" thickBot="1" x14ac:dyDescent="0.4">
      <c r="A19" s="24"/>
      <c r="B19" s="26">
        <v>3</v>
      </c>
      <c r="C19" s="49" t="str">
        <f ca="1">IF(ISBLANK(INDIRECT(ADDRESS(B19*2+2,3))),"",INDIRECT(ADDRESS(B19*2+2,3)))</f>
        <v>Павлова, Базарев</v>
      </c>
      <c r="D19" s="49"/>
      <c r="E19" s="50"/>
      <c r="F19" s="27">
        <v>13</v>
      </c>
      <c r="G19" s="28">
        <v>5</v>
      </c>
      <c r="H19" s="51" t="str">
        <f ca="1">IF(ISBLANK(INDIRECT(ADDRESS(K19*2+2,3))),"",INDIRECT(ADDRESS(K19*2+2,3)))</f>
        <v>Смирнова, Ницинский</v>
      </c>
      <c r="I19" s="49"/>
      <c r="J19" s="49"/>
      <c r="K19" s="26">
        <v>4</v>
      </c>
      <c r="L19" s="29" t="s">
        <v>6</v>
      </c>
      <c r="M19" s="30">
        <v>8</v>
      </c>
    </row>
    <row r="20" spans="1:13" s="25" customFormat="1" ht="21" x14ac:dyDescent="0.35">
      <c r="A20" s="24"/>
      <c r="M20" s="31"/>
    </row>
    <row r="21" spans="1:13" s="25" customFormat="1" ht="21.75" thickBot="1" x14ac:dyDescent="0.4">
      <c r="A21" s="24"/>
      <c r="B21" s="52" t="s">
        <v>7</v>
      </c>
      <c r="C21" s="52"/>
      <c r="D21" s="52"/>
      <c r="E21" s="52"/>
      <c r="F21" s="52"/>
      <c r="G21" s="52"/>
      <c r="H21" s="52"/>
      <c r="I21" s="52"/>
      <c r="J21" s="52"/>
      <c r="K21" s="52"/>
      <c r="M21" s="31"/>
    </row>
    <row r="22" spans="1:13" s="25" customFormat="1" ht="21.75" thickBot="1" x14ac:dyDescent="0.4">
      <c r="A22" s="24"/>
      <c r="B22" s="26">
        <v>5</v>
      </c>
      <c r="C22" s="49" t="str">
        <f ca="1">IF(ISBLANK(INDIRECT(ADDRESS(B22*2+2,3))),"",INDIRECT(ADDRESS(B22*2+2,3)))</f>
        <v>Березнеговская, Кувакин</v>
      </c>
      <c r="D22" s="49"/>
      <c r="E22" s="50"/>
      <c r="F22" s="27">
        <v>7</v>
      </c>
      <c r="G22" s="28">
        <v>12</v>
      </c>
      <c r="H22" s="51" t="str">
        <f ca="1">IF(ISBLANK(INDIRECT(ADDRESS(K22*2+2,3))),"",INDIRECT(ADDRESS(K22*2+2,3)))</f>
        <v>Павлова, Базарев</v>
      </c>
      <c r="I22" s="49"/>
      <c r="J22" s="49"/>
      <c r="K22" s="26">
        <v>3</v>
      </c>
      <c r="L22" s="29" t="s">
        <v>6</v>
      </c>
      <c r="M22" s="30">
        <v>1</v>
      </c>
    </row>
    <row r="23" spans="1:13" s="25" customFormat="1" ht="21.75" thickBot="1" x14ac:dyDescent="0.4">
      <c r="A23" s="24"/>
      <c r="B23" s="26">
        <v>1</v>
      </c>
      <c r="C23" s="49" t="str">
        <f ca="1">IF(ISBLANK(INDIRECT(ADDRESS(B23*2+2,3))),"",INDIRECT(ADDRESS(B23*2+2,3)))</f>
        <v>Дубовицкие</v>
      </c>
      <c r="D23" s="49"/>
      <c r="E23" s="50"/>
      <c r="F23" s="27">
        <v>13</v>
      </c>
      <c r="G23" s="28">
        <v>3</v>
      </c>
      <c r="H23" s="51" t="str">
        <f ca="1">IF(ISBLANK(INDIRECT(ADDRESS(K23*2+2,3))),"",INDIRECT(ADDRESS(K23*2+2,3)))</f>
        <v>Кузнецова, Петраков</v>
      </c>
      <c r="I23" s="49"/>
      <c r="J23" s="49"/>
      <c r="K23" s="26">
        <v>2</v>
      </c>
      <c r="L23" s="29" t="s">
        <v>6</v>
      </c>
      <c r="M23" s="30">
        <v>2</v>
      </c>
    </row>
    <row r="24" spans="1:13" s="25" customFormat="1" ht="21" x14ac:dyDescent="0.35">
      <c r="A24" s="24"/>
      <c r="M24" s="31"/>
    </row>
    <row r="25" spans="1:13" s="25" customFormat="1" ht="21.75" thickBot="1" x14ac:dyDescent="0.4">
      <c r="A25" s="24"/>
      <c r="B25" s="52" t="s">
        <v>8</v>
      </c>
      <c r="C25" s="52"/>
      <c r="D25" s="52"/>
      <c r="E25" s="52"/>
      <c r="F25" s="52"/>
      <c r="G25" s="52"/>
      <c r="H25" s="52"/>
      <c r="I25" s="52"/>
      <c r="J25" s="52"/>
      <c r="K25" s="52"/>
      <c r="M25" s="31"/>
    </row>
    <row r="26" spans="1:13" s="25" customFormat="1" ht="21.75" thickBot="1" x14ac:dyDescent="0.4">
      <c r="A26" s="24"/>
      <c r="B26" s="26">
        <v>3</v>
      </c>
      <c r="C26" s="49" t="str">
        <f ca="1">IF(ISBLANK(INDIRECT(ADDRESS(B26*2+2,3))),"",INDIRECT(ADDRESS(B26*2+2,3)))</f>
        <v>Павлова, Базарев</v>
      </c>
      <c r="D26" s="49"/>
      <c r="E26" s="50"/>
      <c r="F26" s="27">
        <v>13</v>
      </c>
      <c r="G26" s="28">
        <v>0</v>
      </c>
      <c r="H26" s="51" t="str">
        <f ca="1">IF(ISBLANK(INDIRECT(ADDRESS(K26*2+2,3))),"",INDIRECT(ADDRESS(K26*2+2,3)))</f>
        <v>Дубовицкие</v>
      </c>
      <c r="I26" s="49"/>
      <c r="J26" s="49"/>
      <c r="K26" s="26">
        <v>1</v>
      </c>
      <c r="L26" s="29" t="s">
        <v>6</v>
      </c>
      <c r="M26" s="30">
        <v>5</v>
      </c>
    </row>
    <row r="27" spans="1:13" s="25" customFormat="1" ht="21.75" thickBot="1" x14ac:dyDescent="0.4">
      <c r="A27" s="24"/>
      <c r="B27" s="26">
        <v>4</v>
      </c>
      <c r="C27" s="49" t="str">
        <f ca="1">IF(ISBLANK(INDIRECT(ADDRESS(B27*2+2,3))),"",INDIRECT(ADDRESS(B27*2+2,3)))</f>
        <v>Смирнова, Ницинский</v>
      </c>
      <c r="D27" s="49"/>
      <c r="E27" s="50"/>
      <c r="F27" s="27">
        <v>8</v>
      </c>
      <c r="G27" s="28">
        <v>13</v>
      </c>
      <c r="H27" s="51" t="str">
        <f ca="1">IF(ISBLANK(INDIRECT(ADDRESS(K27*2+2,3))),"",INDIRECT(ADDRESS(K27*2+2,3)))</f>
        <v>Березнеговская, Кувакин</v>
      </c>
      <c r="I27" s="49"/>
      <c r="J27" s="49"/>
      <c r="K27" s="26">
        <v>5</v>
      </c>
      <c r="L27" s="29" t="s">
        <v>6</v>
      </c>
      <c r="M27" s="30">
        <v>6</v>
      </c>
    </row>
    <row r="28" spans="1:13" s="25" customFormat="1" ht="21" x14ac:dyDescent="0.35">
      <c r="A28" s="24"/>
      <c r="M28" s="31"/>
    </row>
    <row r="29" spans="1:13" s="25" customFormat="1" ht="21.75" thickBot="1" x14ac:dyDescent="0.4">
      <c r="A29" s="24"/>
      <c r="B29" s="52" t="s">
        <v>9</v>
      </c>
      <c r="C29" s="52"/>
      <c r="D29" s="52"/>
      <c r="E29" s="52"/>
      <c r="F29" s="52"/>
      <c r="G29" s="52"/>
      <c r="H29" s="52"/>
      <c r="I29" s="52"/>
      <c r="J29" s="52"/>
      <c r="K29" s="52"/>
      <c r="M29" s="31"/>
    </row>
    <row r="30" spans="1:13" s="25" customFormat="1" ht="21.75" thickBot="1" x14ac:dyDescent="0.4">
      <c r="A30" s="24"/>
      <c r="B30" s="26">
        <v>1</v>
      </c>
      <c r="C30" s="49" t="str">
        <f ca="1">IF(ISBLANK(INDIRECT(ADDRESS(B30*2+2,3))),"",INDIRECT(ADDRESS(B30*2+2,3)))</f>
        <v>Дубовицкие</v>
      </c>
      <c r="D30" s="49"/>
      <c r="E30" s="50"/>
      <c r="F30" s="27">
        <v>12</v>
      </c>
      <c r="G30" s="28">
        <v>7</v>
      </c>
      <c r="H30" s="51" t="str">
        <f ca="1">IF(ISBLANK(INDIRECT(ADDRESS(K30*2+2,3))),"",INDIRECT(ADDRESS(K30*2+2,3)))</f>
        <v>Смирнова, Ницинский</v>
      </c>
      <c r="I30" s="49"/>
      <c r="J30" s="49"/>
      <c r="K30" s="26">
        <v>4</v>
      </c>
      <c r="L30" s="29" t="s">
        <v>6</v>
      </c>
      <c r="M30" s="30">
        <v>7</v>
      </c>
    </row>
    <row r="31" spans="1:13" s="25" customFormat="1" ht="21.75" thickBot="1" x14ac:dyDescent="0.4">
      <c r="A31" s="24"/>
      <c r="B31" s="26">
        <v>2</v>
      </c>
      <c r="C31" s="49" t="str">
        <f ca="1">IF(ISBLANK(INDIRECT(ADDRESS(B31*2+2,3))),"",INDIRECT(ADDRESS(B31*2+2,3)))</f>
        <v>Кузнецова, Петраков</v>
      </c>
      <c r="D31" s="49"/>
      <c r="E31" s="50"/>
      <c r="F31" s="27">
        <v>8</v>
      </c>
      <c r="G31" s="28">
        <v>9</v>
      </c>
      <c r="H31" s="51" t="str">
        <f ca="1">IF(ISBLANK(INDIRECT(ADDRESS(K31*2+2,3))),"",INDIRECT(ADDRESS(K31*2+2,3)))</f>
        <v>Павлова, Базарев</v>
      </c>
      <c r="I31" s="49"/>
      <c r="J31" s="49"/>
      <c r="K31" s="26">
        <v>3</v>
      </c>
      <c r="L31" s="29" t="s">
        <v>6</v>
      </c>
      <c r="M31" s="30">
        <v>8</v>
      </c>
    </row>
    <row r="32" spans="1:13" s="25" customFormat="1" ht="21" x14ac:dyDescent="0.35">
      <c r="A32" s="24"/>
      <c r="M32" s="31"/>
    </row>
    <row r="33" spans="1:13" s="25" customFormat="1" ht="21.75" thickBot="1" x14ac:dyDescent="0.4">
      <c r="A33" s="24"/>
      <c r="B33" s="52" t="s">
        <v>10</v>
      </c>
      <c r="C33" s="52"/>
      <c r="D33" s="52"/>
      <c r="E33" s="52"/>
      <c r="F33" s="52"/>
      <c r="G33" s="52"/>
      <c r="H33" s="52"/>
      <c r="I33" s="52"/>
      <c r="J33" s="52"/>
      <c r="K33" s="52"/>
      <c r="M33" s="31"/>
    </row>
    <row r="34" spans="1:13" s="25" customFormat="1" ht="21.75" thickBot="1" x14ac:dyDescent="0.4">
      <c r="A34" s="24"/>
      <c r="B34" s="26">
        <v>4</v>
      </c>
      <c r="C34" s="49" t="str">
        <f ca="1">IF(ISBLANK(INDIRECT(ADDRESS(B34*2+2,3))),"",INDIRECT(ADDRESS(B34*2+2,3)))</f>
        <v>Смирнова, Ницинский</v>
      </c>
      <c r="D34" s="49"/>
      <c r="E34" s="50"/>
      <c r="F34" s="27">
        <v>12</v>
      </c>
      <c r="G34" s="28">
        <v>6</v>
      </c>
      <c r="H34" s="51" t="str">
        <f ca="1">IF(ISBLANK(INDIRECT(ADDRESS(K34*2+2,3))),"",INDIRECT(ADDRESS(K34*2+2,3)))</f>
        <v>Кузнецова, Петраков</v>
      </c>
      <c r="I34" s="49"/>
      <c r="J34" s="49"/>
      <c r="K34" s="26">
        <v>2</v>
      </c>
      <c r="L34" s="29" t="s">
        <v>6</v>
      </c>
      <c r="M34" s="30">
        <v>3</v>
      </c>
    </row>
    <row r="35" spans="1:13" s="25" customFormat="1" ht="21.75" thickBot="1" x14ac:dyDescent="0.4">
      <c r="A35" s="24"/>
      <c r="B35" s="26">
        <v>5</v>
      </c>
      <c r="C35" s="49" t="str">
        <f ca="1">IF(ISBLANK(INDIRECT(ADDRESS(B35*2+2,3))),"",INDIRECT(ADDRESS(B35*2+2,3)))</f>
        <v>Березнеговская, Кувакин</v>
      </c>
      <c r="D35" s="49"/>
      <c r="E35" s="50"/>
      <c r="F35" s="27">
        <v>6</v>
      </c>
      <c r="G35" s="28">
        <v>10</v>
      </c>
      <c r="H35" s="51" t="str">
        <f ca="1">IF(ISBLANK(INDIRECT(ADDRESS(K35*2+2,3))),"",INDIRECT(ADDRESS(K35*2+2,3)))</f>
        <v>Дубовицкие</v>
      </c>
      <c r="I35" s="49"/>
      <c r="J35" s="49"/>
      <c r="K35" s="26">
        <v>1</v>
      </c>
      <c r="L35" s="29" t="s">
        <v>6</v>
      </c>
      <c r="M35" s="30">
        <v>4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25" right="0.25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Q12" sqref="Q12"/>
    </sheetView>
  </sheetViews>
  <sheetFormatPr defaultRowHeight="15" x14ac:dyDescent="0.25"/>
  <cols>
    <col min="1" max="1" width="6.28515625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4" customFormat="1" ht="31.5" x14ac:dyDescent="0.25">
      <c r="B1" s="71" t="s">
        <v>13</v>
      </c>
      <c r="C1" s="71"/>
      <c r="D1" s="71"/>
      <c r="E1" s="71"/>
      <c r="F1" s="71"/>
      <c r="G1" s="71"/>
      <c r="H1" s="71"/>
      <c r="I1" s="71"/>
      <c r="J1" s="71"/>
      <c r="K1" s="71"/>
    </row>
    <row r="2" spans="2:14" customFormat="1" ht="15.75" thickBot="1" x14ac:dyDescent="0.3"/>
    <row r="3" spans="2:14" customFormat="1" ht="15.75" thickBot="1" x14ac:dyDescent="0.3">
      <c r="B3" s="2"/>
      <c r="C3" s="72" t="s">
        <v>0</v>
      </c>
      <c r="D3" s="73"/>
      <c r="E3" s="74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4" customFormat="1" ht="21" x14ac:dyDescent="0.25">
      <c r="B4" s="75">
        <v>1</v>
      </c>
      <c r="C4" s="76" t="s">
        <v>46</v>
      </c>
      <c r="D4" s="77"/>
      <c r="E4" s="78"/>
      <c r="F4" s="7" t="s">
        <v>4</v>
      </c>
      <c r="G4" s="8" t="str">
        <f ca="1">INDIRECT(ADDRESS(27,6))&amp;":"&amp;INDIRECT(ADDRESS(27,7))</f>
        <v>13:6</v>
      </c>
      <c r="H4" s="8" t="str">
        <f ca="1">INDIRECT(ADDRESS(31,7))&amp;":"&amp;INDIRECT(ADDRESS(31,6))</f>
        <v>8:12</v>
      </c>
      <c r="I4" s="8" t="str">
        <f ca="1">INDIRECT(ADDRESS(36,6))&amp;":"&amp;INDIRECT(ADDRESS(36,7))</f>
        <v>13:4</v>
      </c>
      <c r="J4" s="8" t="str">
        <f ca="1">INDIRECT(ADDRESS(42,7))&amp;":"&amp;INDIRECT(ADDRESS(42,6))</f>
        <v>10:7</v>
      </c>
      <c r="K4" s="9" t="str">
        <f ca="1">INDIRECT(ADDRESS(20,6))&amp;":"&amp;INDIRECT(ADDRESS(20,7))</f>
        <v>13:4</v>
      </c>
      <c r="L4" s="79">
        <f ca="1">IF(COUNT(F5:K5)=0,"",COUNTIF(F5:K5,"&gt;0")+0.5*COUNTIF(F5:K5,0))</f>
        <v>4</v>
      </c>
      <c r="M4" s="10"/>
      <c r="N4" s="70">
        <v>1</v>
      </c>
    </row>
    <row r="5" spans="2:14" customFormat="1" ht="21" x14ac:dyDescent="0.25">
      <c r="B5" s="65"/>
      <c r="C5" s="67"/>
      <c r="D5" s="68"/>
      <c r="E5" s="69"/>
      <c r="F5" s="11" t="s">
        <v>4</v>
      </c>
      <c r="G5" s="12">
        <f ca="1">IF(LEN(INDIRECT(ADDRESS(ROW()-1, COLUMN())))=1,"",INDIRECT(ADDRESS(27,6))-INDIRECT(ADDRESS(27,7)))</f>
        <v>7</v>
      </c>
      <c r="H5" s="12">
        <f ca="1">IF(LEN(INDIRECT(ADDRESS(ROW()-1, COLUMN())))=1,"",INDIRECT(ADDRESS(31,7))-INDIRECT(ADDRESS(31,6)))</f>
        <v>-4</v>
      </c>
      <c r="I5" s="12">
        <f ca="1">IF(LEN(INDIRECT(ADDRESS(ROW()-1, COLUMN())))=1,"",INDIRECT(ADDRESS(36,6))-INDIRECT(ADDRESS(36,7)))</f>
        <v>9</v>
      </c>
      <c r="J5" s="12">
        <f ca="1">IF(LEN(INDIRECT(ADDRESS(ROW()-1, COLUMN())))=1,"",INDIRECT(ADDRESS(42,7))-INDIRECT(ADDRESS(42,6)))</f>
        <v>3</v>
      </c>
      <c r="K5" s="13">
        <f ca="1">IF(LEN(INDIRECT(ADDRESS(ROW()-1, COLUMN())))=1,"",INDIRECT(ADDRESS(20,6))-INDIRECT(ADDRESS(20,7)))</f>
        <v>9</v>
      </c>
      <c r="L5" s="61"/>
      <c r="M5" s="12">
        <f ca="1">IF(COUNT(F5:K5)=0,"",SUM(F5:K5))</f>
        <v>24</v>
      </c>
      <c r="N5" s="66"/>
    </row>
    <row r="6" spans="2:14" customFormat="1" ht="21" x14ac:dyDescent="0.25">
      <c r="B6" s="53">
        <v>2</v>
      </c>
      <c r="C6" s="67" t="s">
        <v>47</v>
      </c>
      <c r="D6" s="68"/>
      <c r="E6" s="69"/>
      <c r="F6" s="14" t="str">
        <f ca="1">INDIRECT(ADDRESS(27,7))&amp;":"&amp;INDIRECT(ADDRESS(27,6))</f>
        <v>6:13</v>
      </c>
      <c r="G6" s="15" t="s">
        <v>4</v>
      </c>
      <c r="H6" s="16" t="str">
        <f ca="1">INDIRECT(ADDRESS(37,6))&amp;":"&amp;INDIRECT(ADDRESS(37,7))</f>
        <v>13:3</v>
      </c>
      <c r="I6" s="16" t="str">
        <f ca="1">INDIRECT(ADDRESS(41,7))&amp;":"&amp;INDIRECT(ADDRESS(41,6))</f>
        <v>13:7</v>
      </c>
      <c r="J6" s="16" t="str">
        <f ca="1">INDIRECT(ADDRESS(21,6))&amp;":"&amp;INDIRECT(ADDRESS(21,7))</f>
        <v>11:4</v>
      </c>
      <c r="K6" s="17" t="str">
        <f ca="1">INDIRECT(ADDRESS(30,6))&amp;":"&amp;INDIRECT(ADDRESS(30,7))</f>
        <v>13:0</v>
      </c>
      <c r="L6" s="61">
        <f ca="1">IF(COUNT(F7:K7)=0,"",COUNTIF(F7:K7,"&gt;0")+0.5*COUNTIF(F7:K7,0))</f>
        <v>4</v>
      </c>
      <c r="M6" s="12"/>
      <c r="N6" s="63">
        <v>2</v>
      </c>
    </row>
    <row r="7" spans="2:14" customFormat="1" ht="21" x14ac:dyDescent="0.25">
      <c r="B7" s="65"/>
      <c r="C7" s="67"/>
      <c r="D7" s="68"/>
      <c r="E7" s="69"/>
      <c r="F7" s="18">
        <f ca="1">IF(LEN(INDIRECT(ADDRESS(ROW()-1, COLUMN())))=1,"",INDIRECT(ADDRESS(27,7))-INDIRECT(ADDRESS(27,6)))</f>
        <v>-7</v>
      </c>
      <c r="G7" s="19" t="s">
        <v>4</v>
      </c>
      <c r="H7" s="12">
        <f ca="1">IF(LEN(INDIRECT(ADDRESS(ROW()-1, COLUMN())))=1,"",INDIRECT(ADDRESS(37,6))-INDIRECT(ADDRESS(37,7)))</f>
        <v>10</v>
      </c>
      <c r="I7" s="12">
        <f ca="1">IF(LEN(INDIRECT(ADDRESS(ROW()-1, COLUMN())))=1,"",INDIRECT(ADDRESS(41,7))-INDIRECT(ADDRESS(41,6)))</f>
        <v>6</v>
      </c>
      <c r="J7" s="12">
        <f ca="1">IF(LEN(INDIRECT(ADDRESS(ROW()-1, COLUMN())))=1,"",INDIRECT(ADDRESS(21,6))-INDIRECT(ADDRESS(21,7)))</f>
        <v>7</v>
      </c>
      <c r="K7" s="13">
        <f ca="1">IF(LEN(INDIRECT(ADDRESS(ROW()-1, COLUMN())))=1,"",INDIRECT(ADDRESS(30,6))-INDIRECT(ADDRESS(30,7)))</f>
        <v>13</v>
      </c>
      <c r="L7" s="61"/>
      <c r="M7" s="12">
        <f ca="1">IF(COUNT(F7:K7)=0,"",SUM(F7:K7))</f>
        <v>29</v>
      </c>
      <c r="N7" s="66"/>
    </row>
    <row r="8" spans="2:14" customFormat="1" ht="21" x14ac:dyDescent="0.25">
      <c r="B8" s="53">
        <v>3</v>
      </c>
      <c r="C8" s="55" t="s">
        <v>48</v>
      </c>
      <c r="D8" s="56"/>
      <c r="E8" s="57"/>
      <c r="F8" s="14" t="str">
        <f ca="1">INDIRECT(ADDRESS(31,6))&amp;":"&amp;INDIRECT(ADDRESS(31,7))</f>
        <v>12:8</v>
      </c>
      <c r="G8" s="16" t="str">
        <f ca="1">INDIRECT(ADDRESS(37,7))&amp;":"&amp;INDIRECT(ADDRESS(37,6))</f>
        <v>3:13</v>
      </c>
      <c r="H8" s="15" t="s">
        <v>4</v>
      </c>
      <c r="I8" s="16" t="str">
        <f ca="1">INDIRECT(ADDRESS(22,6))&amp;":"&amp;INDIRECT(ADDRESS(22,7))</f>
        <v>13:9</v>
      </c>
      <c r="J8" s="16" t="str">
        <f ca="1">INDIRECT(ADDRESS(26,7))&amp;":"&amp;INDIRECT(ADDRESS(26,6))</f>
        <v>7:12</v>
      </c>
      <c r="K8" s="17" t="str">
        <f ca="1">INDIRECT(ADDRESS(40,6))&amp;":"&amp;INDIRECT(ADDRESS(40,7))</f>
        <v>13:1</v>
      </c>
      <c r="L8" s="61">
        <f ca="1">IF(COUNT(F9:K9)=0,"",COUNTIF(F9:K9,"&gt;0")+0.5*COUNTIF(F9:K9,0))</f>
        <v>3</v>
      </c>
      <c r="M8" s="12"/>
      <c r="N8" s="63">
        <v>4</v>
      </c>
    </row>
    <row r="9" spans="2:14" customFormat="1" ht="21" x14ac:dyDescent="0.25">
      <c r="B9" s="65"/>
      <c r="C9" s="55"/>
      <c r="D9" s="56"/>
      <c r="E9" s="57"/>
      <c r="F9" s="18">
        <f ca="1">IF(LEN(INDIRECT(ADDRESS(ROW()-1, COLUMN())))=1,"",INDIRECT(ADDRESS(31,6))-INDIRECT(ADDRESS(31,7)))</f>
        <v>4</v>
      </c>
      <c r="G9" s="12">
        <f ca="1">IF(LEN(INDIRECT(ADDRESS(ROW()-1, COLUMN())))=1,"",INDIRECT(ADDRESS(37,7))-INDIRECT(ADDRESS(37,6)))</f>
        <v>-10</v>
      </c>
      <c r="H9" s="19" t="s">
        <v>4</v>
      </c>
      <c r="I9" s="12">
        <f ca="1">IF(LEN(INDIRECT(ADDRESS(ROW()-1, COLUMN())))=1,"",INDIRECT(ADDRESS(22,6))-INDIRECT(ADDRESS(22,7)))</f>
        <v>4</v>
      </c>
      <c r="J9" s="12">
        <f ca="1">IF(LEN(INDIRECT(ADDRESS(ROW()-1, COLUMN())))=1,"",INDIRECT(ADDRESS(26,7))-INDIRECT(ADDRESS(26,6)))</f>
        <v>-5</v>
      </c>
      <c r="K9" s="13">
        <f ca="1">IF(LEN(INDIRECT(ADDRESS(ROW()-1, COLUMN())))=1,"",INDIRECT(ADDRESS(40,6))-INDIRECT(ADDRESS(40,7)))</f>
        <v>12</v>
      </c>
      <c r="L9" s="61"/>
      <c r="M9" s="12">
        <f ca="1">IF(COUNT(F9:K9)=0,"",SUM(F9:K9))</f>
        <v>5</v>
      </c>
      <c r="N9" s="66"/>
    </row>
    <row r="10" spans="2:14" customFormat="1" ht="21" x14ac:dyDescent="0.25">
      <c r="B10" s="53">
        <v>4</v>
      </c>
      <c r="C10" s="55" t="s">
        <v>49</v>
      </c>
      <c r="D10" s="56"/>
      <c r="E10" s="57"/>
      <c r="F10" s="14" t="str">
        <f ca="1">INDIRECT(ADDRESS(36,7))&amp;":"&amp;INDIRECT(ADDRESS(36,6))</f>
        <v>4:13</v>
      </c>
      <c r="G10" s="16" t="str">
        <f ca="1">INDIRECT(ADDRESS(41,6))&amp;":"&amp;INDIRECT(ADDRESS(41,7))</f>
        <v>7:13</v>
      </c>
      <c r="H10" s="16" t="str">
        <f ca="1">INDIRECT(ADDRESS(22,7))&amp;":"&amp;INDIRECT(ADDRESS(22,6))</f>
        <v>9:13</v>
      </c>
      <c r="I10" s="15" t="s">
        <v>4</v>
      </c>
      <c r="J10" s="16" t="str">
        <f ca="1">INDIRECT(ADDRESS(32,6))&amp;":"&amp;INDIRECT(ADDRESS(32,7))</f>
        <v>0:13</v>
      </c>
      <c r="K10" s="17" t="str">
        <f ca="1">INDIRECT(ADDRESS(25,7))&amp;":"&amp;INDIRECT(ADDRESS(25,6))</f>
        <v>2:13</v>
      </c>
      <c r="L10" s="61">
        <f ca="1">IF(COUNT(F11:K11)=0,"",COUNTIF(F11:K11,"&gt;0")+0.5*COUNTIF(F11:K11,0))</f>
        <v>0</v>
      </c>
      <c r="M10" s="12"/>
      <c r="N10" s="63">
        <v>6</v>
      </c>
    </row>
    <row r="11" spans="2:14" customFormat="1" ht="21" x14ac:dyDescent="0.25">
      <c r="B11" s="65"/>
      <c r="C11" s="55"/>
      <c r="D11" s="56"/>
      <c r="E11" s="57"/>
      <c r="F11" s="18">
        <f ca="1">IF(LEN(INDIRECT(ADDRESS(ROW()-1, COLUMN())))=1,"",INDIRECT(ADDRESS(36,7))-INDIRECT(ADDRESS(36,6)))</f>
        <v>-9</v>
      </c>
      <c r="G11" s="12">
        <f ca="1">IF(LEN(INDIRECT(ADDRESS(ROW()-1, COLUMN())))=1,"",INDIRECT(ADDRESS(41,6))-INDIRECT(ADDRESS(41,7)))</f>
        <v>-6</v>
      </c>
      <c r="H11" s="12">
        <f ca="1">IF(LEN(INDIRECT(ADDRESS(ROW()-1, COLUMN())))=1,"",INDIRECT(ADDRESS(22,7))-INDIRECT(ADDRESS(22,6)))</f>
        <v>-4</v>
      </c>
      <c r="I11" s="19" t="s">
        <v>4</v>
      </c>
      <c r="J11" s="12">
        <f ca="1">IF(LEN(INDIRECT(ADDRESS(ROW()-1, COLUMN())))=1,"",INDIRECT(ADDRESS(32,6))-INDIRECT(ADDRESS(32,7)))</f>
        <v>-13</v>
      </c>
      <c r="K11" s="13">
        <f ca="1">IF(LEN(INDIRECT(ADDRESS(ROW()-1, COLUMN())))=1,"",INDIRECT(ADDRESS(25,7))-INDIRECT(ADDRESS(25,6)))</f>
        <v>-11</v>
      </c>
      <c r="L11" s="61"/>
      <c r="M11" s="12">
        <f ca="1">IF(COUNT(F11:K11)=0,"",SUM(F11:K11))</f>
        <v>-43</v>
      </c>
      <c r="N11" s="66"/>
    </row>
    <row r="12" spans="2:14" customFormat="1" ht="21" x14ac:dyDescent="0.25">
      <c r="B12" s="53">
        <v>5</v>
      </c>
      <c r="C12" s="67" t="s">
        <v>50</v>
      </c>
      <c r="D12" s="68"/>
      <c r="E12" s="69"/>
      <c r="F12" s="14" t="str">
        <f ca="1">INDIRECT(ADDRESS(42,6))&amp;":"&amp;INDIRECT(ADDRESS(42,7))</f>
        <v>7:10</v>
      </c>
      <c r="G12" s="16" t="str">
        <f ca="1">INDIRECT(ADDRESS(21,7))&amp;":"&amp;INDIRECT(ADDRESS(21,6))</f>
        <v>4:11</v>
      </c>
      <c r="H12" s="16" t="str">
        <f ca="1">INDIRECT(ADDRESS(26,6))&amp;":"&amp;INDIRECT(ADDRESS(26,7))</f>
        <v>12:7</v>
      </c>
      <c r="I12" s="16" t="str">
        <f ca="1">INDIRECT(ADDRESS(32,7))&amp;":"&amp;INDIRECT(ADDRESS(32,6))</f>
        <v>13:0</v>
      </c>
      <c r="J12" s="15" t="s">
        <v>4</v>
      </c>
      <c r="K12" s="17" t="str">
        <f ca="1">INDIRECT(ADDRESS(35,7))&amp;":"&amp;INDIRECT(ADDRESS(35,6))</f>
        <v>13:5</v>
      </c>
      <c r="L12" s="61">
        <f ca="1">IF(COUNT(F13:K13)=0,"",COUNTIF(F13:K13,"&gt;0")+0.5*COUNTIF(F13:K13,0))</f>
        <v>3</v>
      </c>
      <c r="M12" s="12"/>
      <c r="N12" s="63">
        <v>3</v>
      </c>
    </row>
    <row r="13" spans="2:14" customFormat="1" ht="21" x14ac:dyDescent="0.25">
      <c r="B13" s="65"/>
      <c r="C13" s="67"/>
      <c r="D13" s="68"/>
      <c r="E13" s="69"/>
      <c r="F13" s="18">
        <f ca="1">IF(LEN(INDIRECT(ADDRESS(ROW()-1, COLUMN())))=1,"",INDIRECT(ADDRESS(42,6))-INDIRECT(ADDRESS(42,7)))</f>
        <v>-3</v>
      </c>
      <c r="G13" s="12">
        <f ca="1">IF(LEN(INDIRECT(ADDRESS(ROW()-1, COLUMN())))=1,"",INDIRECT(ADDRESS(21,7))-INDIRECT(ADDRESS(21,6)))</f>
        <v>-7</v>
      </c>
      <c r="H13" s="12">
        <f ca="1">IF(LEN(INDIRECT(ADDRESS(ROW()-1, COLUMN())))=1,"",INDIRECT(ADDRESS(26,6))-INDIRECT(ADDRESS(26,7)))</f>
        <v>5</v>
      </c>
      <c r="I13" s="12">
        <f ca="1">IF(LEN(INDIRECT(ADDRESS(ROW()-1, COLUMN())))=1,"",INDIRECT(ADDRESS(32,7))-INDIRECT(ADDRESS(32,6)))</f>
        <v>13</v>
      </c>
      <c r="J13" s="19" t="s">
        <v>4</v>
      </c>
      <c r="K13" s="13">
        <f ca="1">IF(LEN(INDIRECT(ADDRESS(ROW()-1, COLUMN())))=1,"",INDIRECT(ADDRESS(35,7))-INDIRECT(ADDRESS(35,6)))</f>
        <v>8</v>
      </c>
      <c r="L13" s="61"/>
      <c r="M13" s="12">
        <f ca="1">IF(COUNT(F13:K13)=0,"",SUM(F13:K13))</f>
        <v>16</v>
      </c>
      <c r="N13" s="66"/>
    </row>
    <row r="14" spans="2:14" customFormat="1" ht="21" x14ac:dyDescent="0.25">
      <c r="B14" s="53">
        <v>6</v>
      </c>
      <c r="C14" s="55" t="s">
        <v>51</v>
      </c>
      <c r="D14" s="56"/>
      <c r="E14" s="57"/>
      <c r="F14" s="14" t="str">
        <f ca="1">INDIRECT(ADDRESS(20,7))&amp;":"&amp;INDIRECT(ADDRESS(20,6))</f>
        <v>4:13</v>
      </c>
      <c r="G14" s="16" t="str">
        <f ca="1">INDIRECT(ADDRESS(30,7))&amp;":"&amp;INDIRECT(ADDRESS(30,6))</f>
        <v>0:13</v>
      </c>
      <c r="H14" s="16" t="str">
        <f ca="1">INDIRECT(ADDRESS(40,7))&amp;":"&amp;INDIRECT(ADDRESS(40,6))</f>
        <v>1:13</v>
      </c>
      <c r="I14" s="16" t="str">
        <f ca="1">INDIRECT(ADDRESS(25,6))&amp;":"&amp;INDIRECT(ADDRESS(25,7))</f>
        <v>13:2</v>
      </c>
      <c r="J14" s="16" t="str">
        <f ca="1">INDIRECT(ADDRESS(35,6))&amp;":"&amp;INDIRECT(ADDRESS(35,7))</f>
        <v>5:13</v>
      </c>
      <c r="K14" s="20" t="s">
        <v>4</v>
      </c>
      <c r="L14" s="61">
        <f ca="1">IF(COUNT(F15:K15)=0,"",COUNTIF(F15:K15,"&gt;0")+0.5*COUNTIF(F15:K15,0))</f>
        <v>1</v>
      </c>
      <c r="M14" s="12"/>
      <c r="N14" s="63">
        <v>5</v>
      </c>
    </row>
    <row r="15" spans="2:14" customFormat="1" ht="21.75" thickBot="1" x14ac:dyDescent="0.3">
      <c r="B15" s="54"/>
      <c r="C15" s="58"/>
      <c r="D15" s="59"/>
      <c r="E15" s="60"/>
      <c r="F15" s="21">
        <f ca="1">IF(LEN(INDIRECT(ADDRESS(ROW()-1, COLUMN())))=1,"",INDIRECT(ADDRESS(20,7))-INDIRECT(ADDRESS(20,6)))</f>
        <v>-9</v>
      </c>
      <c r="G15" s="22">
        <f ca="1">IF(LEN(INDIRECT(ADDRESS(ROW()-1, COLUMN())))=1,"",INDIRECT(ADDRESS(30,7))-INDIRECT(ADDRESS(30,6)))</f>
        <v>-13</v>
      </c>
      <c r="H15" s="22">
        <f ca="1">IF(LEN(INDIRECT(ADDRESS(ROW()-1, COLUMN())))=1,"",INDIRECT(ADDRESS(40,7))-INDIRECT(ADDRESS(40,6)))</f>
        <v>-12</v>
      </c>
      <c r="I15" s="22">
        <f ca="1">IF(LEN(INDIRECT(ADDRESS(ROW()-1, COLUMN())))=1,"",INDIRECT(ADDRESS(25,6))-INDIRECT(ADDRESS(25,7)))</f>
        <v>11</v>
      </c>
      <c r="J15" s="22">
        <f ca="1">IF(LEN(INDIRECT(ADDRESS(ROW()-1, COLUMN())))=1,"",INDIRECT(ADDRESS(35,6))-INDIRECT(ADDRESS(35,7)))</f>
        <v>-8</v>
      </c>
      <c r="K15" s="23" t="s">
        <v>4</v>
      </c>
      <c r="L15" s="62"/>
      <c r="M15" s="22">
        <f ca="1">IF(COUNT(F15:K15)=0,"",SUM(F15:K15))</f>
        <v>-31</v>
      </c>
      <c r="N15" s="64"/>
    </row>
    <row r="16" spans="2:14" customFormat="1" x14ac:dyDescent="0.25"/>
    <row r="17" spans="1:13" x14ac:dyDescent="0.25">
      <c r="M17"/>
    </row>
    <row r="18" spans="1:13" x14ac:dyDescent="0.25">
      <c r="M18"/>
    </row>
    <row r="19" spans="1:13" s="25" customFormat="1" ht="21.75" thickBot="1" x14ac:dyDescent="0.4">
      <c r="A19" s="24"/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3" s="25" customFormat="1" ht="21.75" thickBot="1" x14ac:dyDescent="0.4">
      <c r="A20" s="24"/>
      <c r="B20" s="26">
        <v>1</v>
      </c>
      <c r="C20" s="49" t="str">
        <f ca="1">IF(ISBLANK(INDIRECT(ADDRESS(B20*2+2,3))),"",INDIRECT(ADDRESS(B20*2+2,3)))</f>
        <v>Хафизова, Мишин</v>
      </c>
      <c r="D20" s="49"/>
      <c r="E20" s="50"/>
      <c r="F20" s="27">
        <v>13</v>
      </c>
      <c r="G20" s="28">
        <v>4</v>
      </c>
      <c r="H20" s="51" t="str">
        <f ca="1">IF(ISBLANK(INDIRECT(ADDRESS(K20*2+2,3))),"",INDIRECT(ADDRESS(K20*2+2,3)))</f>
        <v>Рукавцева, Панов</v>
      </c>
      <c r="I20" s="49"/>
      <c r="J20" s="49"/>
      <c r="K20" s="26">
        <v>6</v>
      </c>
      <c r="L20" s="29" t="s">
        <v>6</v>
      </c>
      <c r="M20" s="30">
        <v>1</v>
      </c>
    </row>
    <row r="21" spans="1:13" s="25" customFormat="1" ht="21.75" thickBot="1" x14ac:dyDescent="0.4">
      <c r="A21" s="24"/>
      <c r="B21" s="26">
        <v>2</v>
      </c>
      <c r="C21" s="49" t="str">
        <f ca="1">IF(ISBLANK(INDIRECT(ADDRESS(B21*2+2,3))),"",INDIRECT(ADDRESS(B21*2+2,3)))</f>
        <v>Мурашова, Жака</v>
      </c>
      <c r="D21" s="49"/>
      <c r="E21" s="50"/>
      <c r="F21" s="27">
        <v>11</v>
      </c>
      <c r="G21" s="28">
        <v>4</v>
      </c>
      <c r="H21" s="51" t="str">
        <f ca="1">IF(ISBLANK(INDIRECT(ADDRESS(K21*2+2,3))),"",INDIRECT(ADDRESS(K21*2+2,3)))</f>
        <v>Кайтукова, Шапкин</v>
      </c>
      <c r="I21" s="49"/>
      <c r="J21" s="49"/>
      <c r="K21" s="26">
        <v>5</v>
      </c>
      <c r="L21" s="29" t="s">
        <v>6</v>
      </c>
      <c r="M21" s="30">
        <v>2</v>
      </c>
    </row>
    <row r="22" spans="1:13" s="25" customFormat="1" ht="21.75" thickBot="1" x14ac:dyDescent="0.4">
      <c r="A22" s="24"/>
      <c r="B22" s="26">
        <v>3</v>
      </c>
      <c r="C22" s="49" t="str">
        <f ca="1">IF(ISBLANK(INDIRECT(ADDRESS(B22*2+2,3))),"",INDIRECT(ADDRESS(B22*2+2,3)))</f>
        <v>Мирошниченко, Гоцфрид</v>
      </c>
      <c r="D22" s="49"/>
      <c r="E22" s="50"/>
      <c r="F22" s="27">
        <v>13</v>
      </c>
      <c r="G22" s="28">
        <v>9</v>
      </c>
      <c r="H22" s="51" t="str">
        <f ca="1">IF(ISBLANK(INDIRECT(ADDRESS(K22*2+2,3))),"",INDIRECT(ADDRESS(K22*2+2,3)))</f>
        <v>Луговская, Ариетта</v>
      </c>
      <c r="I22" s="49"/>
      <c r="J22" s="49"/>
      <c r="K22" s="26">
        <v>4</v>
      </c>
      <c r="L22" s="29" t="s">
        <v>6</v>
      </c>
      <c r="M22" s="30">
        <v>3</v>
      </c>
    </row>
    <row r="23" spans="1:13" s="25" customFormat="1" ht="21" x14ac:dyDescent="0.35">
      <c r="A23" s="24"/>
      <c r="M23" s="31"/>
    </row>
    <row r="24" spans="1:13" s="25" customFormat="1" ht="21.75" thickBot="1" x14ac:dyDescent="0.4">
      <c r="A24" s="24"/>
      <c r="B24" s="52" t="s">
        <v>7</v>
      </c>
      <c r="C24" s="52"/>
      <c r="D24" s="52"/>
      <c r="E24" s="52"/>
      <c r="F24" s="52"/>
      <c r="G24" s="52"/>
      <c r="H24" s="52"/>
      <c r="I24" s="52"/>
      <c r="J24" s="52"/>
      <c r="K24" s="52"/>
      <c r="M24" s="31"/>
    </row>
    <row r="25" spans="1:13" s="25" customFormat="1" ht="21.75" thickBot="1" x14ac:dyDescent="0.4">
      <c r="A25" s="24"/>
      <c r="B25" s="26">
        <v>6</v>
      </c>
      <c r="C25" s="49" t="str">
        <f ca="1">IF(ISBLANK(INDIRECT(ADDRESS(B25*2+2,3))),"",INDIRECT(ADDRESS(B25*2+2,3)))</f>
        <v>Рукавцева, Панов</v>
      </c>
      <c r="D25" s="49"/>
      <c r="E25" s="50"/>
      <c r="F25" s="27">
        <v>13</v>
      </c>
      <c r="G25" s="28">
        <v>2</v>
      </c>
      <c r="H25" s="51" t="str">
        <f ca="1">IF(ISBLANK(INDIRECT(ADDRESS(K25*2+2,3))),"",INDIRECT(ADDRESS(K25*2+2,3)))</f>
        <v>Луговская, Ариетта</v>
      </c>
      <c r="I25" s="49"/>
      <c r="J25" s="49"/>
      <c r="K25" s="26">
        <v>4</v>
      </c>
      <c r="L25" s="29" t="s">
        <v>6</v>
      </c>
      <c r="M25" s="30">
        <v>5</v>
      </c>
    </row>
    <row r="26" spans="1:13" s="25" customFormat="1" ht="21.75" thickBot="1" x14ac:dyDescent="0.4">
      <c r="A26" s="24"/>
      <c r="B26" s="26">
        <v>5</v>
      </c>
      <c r="C26" s="49" t="str">
        <f ca="1">IF(ISBLANK(INDIRECT(ADDRESS(B26*2+2,3))),"",INDIRECT(ADDRESS(B26*2+2,3)))</f>
        <v>Кайтукова, Шапкин</v>
      </c>
      <c r="D26" s="49"/>
      <c r="E26" s="50"/>
      <c r="F26" s="27">
        <v>12</v>
      </c>
      <c r="G26" s="28">
        <v>7</v>
      </c>
      <c r="H26" s="51" t="str">
        <f ca="1">IF(ISBLANK(INDIRECT(ADDRESS(K26*2+2,3))),"",INDIRECT(ADDRESS(K26*2+2,3)))</f>
        <v>Мирошниченко, Гоцфрид</v>
      </c>
      <c r="I26" s="49"/>
      <c r="J26" s="49"/>
      <c r="K26" s="26">
        <v>3</v>
      </c>
      <c r="L26" s="29" t="s">
        <v>6</v>
      </c>
      <c r="M26" s="30">
        <v>6</v>
      </c>
    </row>
    <row r="27" spans="1:13" s="25" customFormat="1" ht="21.75" thickBot="1" x14ac:dyDescent="0.4">
      <c r="A27" s="24"/>
      <c r="B27" s="26">
        <v>1</v>
      </c>
      <c r="C27" s="49" t="str">
        <f ca="1">IF(ISBLANK(INDIRECT(ADDRESS(B27*2+2,3))),"",INDIRECT(ADDRESS(B27*2+2,3)))</f>
        <v>Хафизова, Мишин</v>
      </c>
      <c r="D27" s="49"/>
      <c r="E27" s="50"/>
      <c r="F27" s="27">
        <v>13</v>
      </c>
      <c r="G27" s="28">
        <v>6</v>
      </c>
      <c r="H27" s="51" t="str">
        <f ca="1">IF(ISBLANK(INDIRECT(ADDRESS(K27*2+2,3))),"",INDIRECT(ADDRESS(K27*2+2,3)))</f>
        <v>Мурашова, Жака</v>
      </c>
      <c r="I27" s="49"/>
      <c r="J27" s="49"/>
      <c r="K27" s="26">
        <v>2</v>
      </c>
      <c r="L27" s="29" t="s">
        <v>6</v>
      </c>
      <c r="M27" s="30">
        <v>4</v>
      </c>
    </row>
    <row r="28" spans="1:13" s="25" customFormat="1" ht="21" x14ac:dyDescent="0.35">
      <c r="A28" s="24"/>
      <c r="M28" s="31"/>
    </row>
    <row r="29" spans="1:13" s="25" customFormat="1" ht="21.75" thickBot="1" x14ac:dyDescent="0.4">
      <c r="A29" s="24"/>
      <c r="B29" s="52" t="s">
        <v>8</v>
      </c>
      <c r="C29" s="52"/>
      <c r="D29" s="52"/>
      <c r="E29" s="52"/>
      <c r="F29" s="52"/>
      <c r="G29" s="52"/>
      <c r="H29" s="52"/>
      <c r="I29" s="52"/>
      <c r="J29" s="52"/>
      <c r="K29" s="52"/>
      <c r="M29" s="31"/>
    </row>
    <row r="30" spans="1:13" s="25" customFormat="1" ht="21.75" thickBot="1" x14ac:dyDescent="0.4">
      <c r="A30" s="24"/>
      <c r="B30" s="26">
        <v>2</v>
      </c>
      <c r="C30" s="49" t="str">
        <f ca="1">IF(ISBLANK(INDIRECT(ADDRESS(B30*2+2,3))),"",INDIRECT(ADDRESS(B30*2+2,3)))</f>
        <v>Мурашова, Жака</v>
      </c>
      <c r="D30" s="49"/>
      <c r="E30" s="50"/>
      <c r="F30" s="27">
        <v>13</v>
      </c>
      <c r="G30" s="28">
        <v>0</v>
      </c>
      <c r="H30" s="51" t="str">
        <f ca="1">IF(ISBLANK(INDIRECT(ADDRESS(K30*2+2,3))),"",INDIRECT(ADDRESS(K30*2+2,3)))</f>
        <v>Рукавцева, Панов</v>
      </c>
      <c r="I30" s="49"/>
      <c r="J30" s="49"/>
      <c r="K30" s="26">
        <v>6</v>
      </c>
      <c r="L30" s="29" t="s">
        <v>6</v>
      </c>
      <c r="M30" s="30">
        <v>7</v>
      </c>
    </row>
    <row r="31" spans="1:13" s="25" customFormat="1" ht="21.75" thickBot="1" x14ac:dyDescent="0.4">
      <c r="A31" s="24"/>
      <c r="B31" s="26">
        <v>3</v>
      </c>
      <c r="C31" s="49" t="str">
        <f ca="1">IF(ISBLANK(INDIRECT(ADDRESS(B31*2+2,3))),"",INDIRECT(ADDRESS(B31*2+2,3)))</f>
        <v>Мирошниченко, Гоцфрид</v>
      </c>
      <c r="D31" s="49"/>
      <c r="E31" s="50"/>
      <c r="F31" s="27">
        <v>12</v>
      </c>
      <c r="G31" s="28">
        <v>8</v>
      </c>
      <c r="H31" s="51" t="str">
        <f ca="1">IF(ISBLANK(INDIRECT(ADDRESS(K31*2+2,3))),"",INDIRECT(ADDRESS(K31*2+2,3)))</f>
        <v>Хафизова, Мишин</v>
      </c>
      <c r="I31" s="49"/>
      <c r="J31" s="49"/>
      <c r="K31" s="26">
        <v>1</v>
      </c>
      <c r="L31" s="29" t="s">
        <v>6</v>
      </c>
      <c r="M31" s="30">
        <v>8</v>
      </c>
    </row>
    <row r="32" spans="1:13" s="25" customFormat="1" ht="21.75" thickBot="1" x14ac:dyDescent="0.4">
      <c r="A32" s="24"/>
      <c r="B32" s="26">
        <v>4</v>
      </c>
      <c r="C32" s="49" t="str">
        <f ca="1">IF(ISBLANK(INDIRECT(ADDRESS(B32*2+2,3))),"",INDIRECT(ADDRESS(B32*2+2,3)))</f>
        <v>Луговская, Ариетта</v>
      </c>
      <c r="D32" s="49"/>
      <c r="E32" s="50"/>
      <c r="F32" s="27">
        <v>0</v>
      </c>
      <c r="G32" s="28">
        <v>13</v>
      </c>
      <c r="H32" s="51" t="str">
        <f ca="1">IF(ISBLANK(INDIRECT(ADDRESS(K32*2+2,3))),"",INDIRECT(ADDRESS(K32*2+2,3)))</f>
        <v>Кайтукова, Шапкин</v>
      </c>
      <c r="I32" s="49"/>
      <c r="J32" s="49"/>
      <c r="K32" s="26">
        <v>5</v>
      </c>
      <c r="L32" s="29" t="s">
        <v>6</v>
      </c>
      <c r="M32" s="30" t="s">
        <v>45</v>
      </c>
    </row>
    <row r="33" spans="1:13" s="25" customFormat="1" ht="21" x14ac:dyDescent="0.35">
      <c r="A33" s="24"/>
      <c r="M33" s="31"/>
    </row>
    <row r="34" spans="1:13" s="25" customFormat="1" ht="21.75" thickBot="1" x14ac:dyDescent="0.4">
      <c r="A34" s="24"/>
      <c r="B34" s="52" t="s">
        <v>9</v>
      </c>
      <c r="C34" s="52"/>
      <c r="D34" s="52"/>
      <c r="E34" s="52"/>
      <c r="F34" s="52"/>
      <c r="G34" s="52"/>
      <c r="H34" s="52"/>
      <c r="I34" s="52"/>
      <c r="J34" s="52"/>
      <c r="K34" s="52"/>
      <c r="M34" s="31"/>
    </row>
    <row r="35" spans="1:13" s="25" customFormat="1" ht="21.75" thickBot="1" x14ac:dyDescent="0.4">
      <c r="A35" s="24"/>
      <c r="B35" s="26">
        <v>6</v>
      </c>
      <c r="C35" s="49" t="str">
        <f ca="1">IF(ISBLANK(INDIRECT(ADDRESS(B35*2+2,3))),"",INDIRECT(ADDRESS(B35*2+2,3)))</f>
        <v>Рукавцева, Панов</v>
      </c>
      <c r="D35" s="49"/>
      <c r="E35" s="50"/>
      <c r="F35" s="27">
        <v>5</v>
      </c>
      <c r="G35" s="28">
        <v>13</v>
      </c>
      <c r="H35" s="51" t="str">
        <f ca="1">IF(ISBLANK(INDIRECT(ADDRESS(K35*2+2,3))),"",INDIRECT(ADDRESS(K35*2+2,3)))</f>
        <v>Кайтукова, Шапкин</v>
      </c>
      <c r="I35" s="49"/>
      <c r="J35" s="49"/>
      <c r="K35" s="26">
        <v>5</v>
      </c>
      <c r="L35" s="29" t="s">
        <v>6</v>
      </c>
      <c r="M35" s="30">
        <v>1</v>
      </c>
    </row>
    <row r="36" spans="1:13" s="25" customFormat="1" ht="21.75" thickBot="1" x14ac:dyDescent="0.4">
      <c r="A36" s="24"/>
      <c r="B36" s="26">
        <v>1</v>
      </c>
      <c r="C36" s="49" t="str">
        <f ca="1">IF(ISBLANK(INDIRECT(ADDRESS(B36*2+2,3))),"",INDIRECT(ADDRESS(B36*2+2,3)))</f>
        <v>Хафизова, Мишин</v>
      </c>
      <c r="D36" s="49"/>
      <c r="E36" s="50"/>
      <c r="F36" s="27">
        <v>13</v>
      </c>
      <c r="G36" s="28">
        <v>4</v>
      </c>
      <c r="H36" s="51" t="str">
        <f ca="1">IF(ISBLANK(INDIRECT(ADDRESS(K36*2+2,3))),"",INDIRECT(ADDRESS(K36*2+2,3)))</f>
        <v>Луговская, Ариетта</v>
      </c>
      <c r="I36" s="49"/>
      <c r="J36" s="49"/>
      <c r="K36" s="26">
        <v>4</v>
      </c>
      <c r="L36" s="29" t="s">
        <v>6</v>
      </c>
      <c r="M36" s="30">
        <v>2</v>
      </c>
    </row>
    <row r="37" spans="1:13" s="25" customFormat="1" ht="21.75" thickBot="1" x14ac:dyDescent="0.4">
      <c r="A37" s="24"/>
      <c r="B37" s="26">
        <v>2</v>
      </c>
      <c r="C37" s="49" t="str">
        <f ca="1">IF(ISBLANK(INDIRECT(ADDRESS(B37*2+2,3))),"",INDIRECT(ADDRESS(B37*2+2,3)))</f>
        <v>Мурашова, Жака</v>
      </c>
      <c r="D37" s="49"/>
      <c r="E37" s="50"/>
      <c r="F37" s="27">
        <v>13</v>
      </c>
      <c r="G37" s="28">
        <v>3</v>
      </c>
      <c r="H37" s="51" t="str">
        <f ca="1">IF(ISBLANK(INDIRECT(ADDRESS(K37*2+2,3))),"",INDIRECT(ADDRESS(K37*2+2,3)))</f>
        <v>Мирошниченко, Гоцфрид</v>
      </c>
      <c r="I37" s="49"/>
      <c r="J37" s="49"/>
      <c r="K37" s="26">
        <v>3</v>
      </c>
      <c r="L37" s="29" t="s">
        <v>6</v>
      </c>
      <c r="M37" s="30">
        <v>3</v>
      </c>
    </row>
    <row r="38" spans="1:13" s="25" customFormat="1" ht="21" x14ac:dyDescent="0.35">
      <c r="A38" s="24"/>
      <c r="M38" s="31"/>
    </row>
    <row r="39" spans="1:13" s="25" customFormat="1" ht="21.75" thickBot="1" x14ac:dyDescent="0.4">
      <c r="A39" s="24"/>
      <c r="B39" s="52" t="s">
        <v>10</v>
      </c>
      <c r="C39" s="52"/>
      <c r="D39" s="52"/>
      <c r="E39" s="52"/>
      <c r="F39" s="52"/>
      <c r="G39" s="52"/>
      <c r="H39" s="52"/>
      <c r="I39" s="52"/>
      <c r="J39" s="52"/>
      <c r="K39" s="52"/>
      <c r="M39" s="31"/>
    </row>
    <row r="40" spans="1:13" s="25" customFormat="1" ht="21.75" thickBot="1" x14ac:dyDescent="0.4">
      <c r="A40" s="24"/>
      <c r="B40" s="26">
        <v>3</v>
      </c>
      <c r="C40" s="49" t="str">
        <f ca="1">IF(ISBLANK(INDIRECT(ADDRESS(B40*2+2,3))),"",INDIRECT(ADDRESS(B40*2+2,3)))</f>
        <v>Мирошниченко, Гоцфрид</v>
      </c>
      <c r="D40" s="49"/>
      <c r="E40" s="50"/>
      <c r="F40" s="27">
        <v>13</v>
      </c>
      <c r="G40" s="28">
        <v>1</v>
      </c>
      <c r="H40" s="51" t="str">
        <f ca="1">IF(ISBLANK(INDIRECT(ADDRESS(K40*2+2,3))),"",INDIRECT(ADDRESS(K40*2+2,3)))</f>
        <v>Рукавцева, Панов</v>
      </c>
      <c r="I40" s="49"/>
      <c r="J40" s="49"/>
      <c r="K40" s="26">
        <v>6</v>
      </c>
      <c r="L40" s="29" t="s">
        <v>6</v>
      </c>
      <c r="M40" s="30">
        <v>5</v>
      </c>
    </row>
    <row r="41" spans="1:13" s="25" customFormat="1" ht="21.75" thickBot="1" x14ac:dyDescent="0.4">
      <c r="A41" s="48" t="s">
        <v>64</v>
      </c>
      <c r="B41" s="26">
        <v>4</v>
      </c>
      <c r="C41" s="49" t="str">
        <f ca="1">IF(ISBLANK(INDIRECT(ADDRESS(B41*2+2,3))),"",INDIRECT(ADDRESS(B41*2+2,3)))</f>
        <v>Луговская, Ариетта</v>
      </c>
      <c r="D41" s="49"/>
      <c r="E41" s="50"/>
      <c r="F41" s="27">
        <v>7</v>
      </c>
      <c r="G41" s="28">
        <v>13</v>
      </c>
      <c r="H41" s="51" t="str">
        <f ca="1">IF(ISBLANK(INDIRECT(ADDRESS(K41*2+2,3))),"",INDIRECT(ADDRESS(K41*2+2,3)))</f>
        <v>Мурашова, Жака</v>
      </c>
      <c r="I41" s="49"/>
      <c r="J41" s="49"/>
      <c r="K41" s="26">
        <v>2</v>
      </c>
      <c r="L41" s="29" t="s">
        <v>6</v>
      </c>
      <c r="M41" s="30">
        <v>6</v>
      </c>
    </row>
    <row r="42" spans="1:13" s="25" customFormat="1" ht="21.75" thickBot="1" x14ac:dyDescent="0.4">
      <c r="A42" s="24"/>
      <c r="B42" s="26">
        <v>5</v>
      </c>
      <c r="C42" s="49" t="str">
        <f ca="1">IF(ISBLANK(INDIRECT(ADDRESS(B42*2+2,3))),"",INDIRECT(ADDRESS(B42*2+2,3)))</f>
        <v>Кайтукова, Шапкин</v>
      </c>
      <c r="D42" s="49"/>
      <c r="E42" s="50"/>
      <c r="F42" s="27">
        <v>7</v>
      </c>
      <c r="G42" s="28">
        <v>10</v>
      </c>
      <c r="H42" s="51" t="str">
        <f ca="1">IF(ISBLANK(INDIRECT(ADDRESS(K42*2+2,3))),"",INDIRECT(ADDRESS(K42*2+2,3)))</f>
        <v>Хафизова, Мишин</v>
      </c>
      <c r="I42" s="49"/>
      <c r="J42" s="49"/>
      <c r="K42" s="26">
        <v>1</v>
      </c>
      <c r="L42" s="29" t="s">
        <v>6</v>
      </c>
      <c r="M42" s="30">
        <v>4</v>
      </c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25" right="0.25" top="0.75" bottom="0.75" header="0.3" footer="0.3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P14" sqref="P14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4" ht="31.5" x14ac:dyDescent="0.25">
      <c r="B1" s="71" t="s">
        <v>14</v>
      </c>
      <c r="C1" s="71"/>
      <c r="D1" s="71"/>
      <c r="E1" s="71"/>
      <c r="F1" s="71"/>
      <c r="G1" s="71"/>
      <c r="H1" s="71"/>
      <c r="I1" s="71"/>
      <c r="J1" s="71"/>
      <c r="K1" s="71"/>
      <c r="M1"/>
    </row>
    <row r="2" spans="2:14" ht="15.75" thickBot="1" x14ac:dyDescent="0.3">
      <c r="M2"/>
    </row>
    <row r="3" spans="2:14" ht="15.75" thickBot="1" x14ac:dyDescent="0.3">
      <c r="B3" s="2"/>
      <c r="C3" s="72" t="s">
        <v>0</v>
      </c>
      <c r="D3" s="73"/>
      <c r="E3" s="74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4" ht="21" x14ac:dyDescent="0.25">
      <c r="B4" s="75">
        <v>1</v>
      </c>
      <c r="C4" s="76" t="s">
        <v>52</v>
      </c>
      <c r="D4" s="77"/>
      <c r="E4" s="78"/>
      <c r="F4" s="7" t="s">
        <v>4</v>
      </c>
      <c r="G4" s="8" t="str">
        <f ca="1">INDIRECT(ADDRESS(27,6))&amp;":"&amp;INDIRECT(ADDRESS(27,7))</f>
        <v>13:7</v>
      </c>
      <c r="H4" s="8" t="str">
        <f ca="1">INDIRECT(ADDRESS(31,7))&amp;":"&amp;INDIRECT(ADDRESS(31,6))</f>
        <v>13:2</v>
      </c>
      <c r="I4" s="8" t="str">
        <f ca="1">INDIRECT(ADDRESS(36,6))&amp;":"&amp;INDIRECT(ADDRESS(36,7))</f>
        <v>12:7</v>
      </c>
      <c r="J4" s="8" t="str">
        <f ca="1">INDIRECT(ADDRESS(42,7))&amp;":"&amp;INDIRECT(ADDRESS(42,6))</f>
        <v>11:13</v>
      </c>
      <c r="K4" s="9" t="str">
        <f ca="1">INDIRECT(ADDRESS(20,6))&amp;":"&amp;INDIRECT(ADDRESS(20,7))</f>
        <v>13:8</v>
      </c>
      <c r="L4" s="79">
        <f ca="1">IF(COUNT(F5:K5)=0,"",COUNTIF(F5:K5,"&gt;0")+0.5*COUNTIF(F5:K5,0))</f>
        <v>4</v>
      </c>
      <c r="M4" s="10"/>
      <c r="N4" s="70">
        <v>2</v>
      </c>
    </row>
    <row r="5" spans="2:14" ht="21" x14ac:dyDescent="0.25">
      <c r="B5" s="65"/>
      <c r="C5" s="67"/>
      <c r="D5" s="68"/>
      <c r="E5" s="69"/>
      <c r="F5" s="11" t="s">
        <v>4</v>
      </c>
      <c r="G5" s="12">
        <f ca="1">IF(LEN(INDIRECT(ADDRESS(ROW()-1, COLUMN())))=1,"",INDIRECT(ADDRESS(27,6))-INDIRECT(ADDRESS(27,7)))</f>
        <v>6</v>
      </c>
      <c r="H5" s="12">
        <f ca="1">IF(LEN(INDIRECT(ADDRESS(ROW()-1, COLUMN())))=1,"",INDIRECT(ADDRESS(31,7))-INDIRECT(ADDRESS(31,6)))</f>
        <v>11</v>
      </c>
      <c r="I5" s="12">
        <f ca="1">IF(LEN(INDIRECT(ADDRESS(ROW()-1, COLUMN())))=1,"",INDIRECT(ADDRESS(36,6))-INDIRECT(ADDRESS(36,7)))</f>
        <v>5</v>
      </c>
      <c r="J5" s="12">
        <f ca="1">IF(LEN(INDIRECT(ADDRESS(ROW()-1, COLUMN())))=1,"",INDIRECT(ADDRESS(42,7))-INDIRECT(ADDRESS(42,6)))</f>
        <v>-2</v>
      </c>
      <c r="K5" s="13">
        <f ca="1">IF(LEN(INDIRECT(ADDRESS(ROW()-1, COLUMN())))=1,"",INDIRECT(ADDRESS(20,6))-INDIRECT(ADDRESS(20,7)))</f>
        <v>5</v>
      </c>
      <c r="L5" s="61"/>
      <c r="M5" s="12">
        <f ca="1">IF(COUNT(F5:K5)=0,"",SUM(F5:K5))</f>
        <v>25</v>
      </c>
      <c r="N5" s="66"/>
    </row>
    <row r="6" spans="2:14" ht="21" x14ac:dyDescent="0.25">
      <c r="B6" s="53">
        <v>2</v>
      </c>
      <c r="C6" s="55" t="s">
        <v>53</v>
      </c>
      <c r="D6" s="56"/>
      <c r="E6" s="57"/>
      <c r="F6" s="14" t="str">
        <f ca="1">INDIRECT(ADDRESS(27,7))&amp;":"&amp;INDIRECT(ADDRESS(27,6))</f>
        <v>7:13</v>
      </c>
      <c r="G6" s="15" t="s">
        <v>4</v>
      </c>
      <c r="H6" s="16" t="str">
        <f ca="1">INDIRECT(ADDRESS(37,6))&amp;":"&amp;INDIRECT(ADDRESS(37,7))</f>
        <v>13:3</v>
      </c>
      <c r="I6" s="16" t="str">
        <f ca="1">INDIRECT(ADDRESS(41,7))&amp;":"&amp;INDIRECT(ADDRESS(41,6))</f>
        <v>9:12</v>
      </c>
      <c r="J6" s="16" t="str">
        <f ca="1">INDIRECT(ADDRESS(21,6))&amp;":"&amp;INDIRECT(ADDRESS(21,7))</f>
        <v>8:13</v>
      </c>
      <c r="K6" s="17" t="str">
        <f ca="1">INDIRECT(ADDRESS(30,6))&amp;":"&amp;INDIRECT(ADDRESS(30,7))</f>
        <v>13:9</v>
      </c>
      <c r="L6" s="61">
        <f ca="1">IF(COUNT(F7:K7)=0,"",COUNTIF(F7:K7,"&gt;0")+0.5*COUNTIF(F7:K7,0))</f>
        <v>2</v>
      </c>
      <c r="M6" s="12"/>
      <c r="N6" s="63">
        <v>4</v>
      </c>
    </row>
    <row r="7" spans="2:14" ht="21" x14ac:dyDescent="0.25">
      <c r="B7" s="65"/>
      <c r="C7" s="55"/>
      <c r="D7" s="56"/>
      <c r="E7" s="57"/>
      <c r="F7" s="18">
        <f ca="1">IF(LEN(INDIRECT(ADDRESS(ROW()-1, COLUMN())))=1,"",INDIRECT(ADDRESS(27,7))-INDIRECT(ADDRESS(27,6)))</f>
        <v>-6</v>
      </c>
      <c r="G7" s="19" t="s">
        <v>4</v>
      </c>
      <c r="H7" s="12">
        <f ca="1">IF(LEN(INDIRECT(ADDRESS(ROW()-1, COLUMN())))=1,"",INDIRECT(ADDRESS(37,6))-INDIRECT(ADDRESS(37,7)))</f>
        <v>10</v>
      </c>
      <c r="I7" s="12">
        <f ca="1">IF(LEN(INDIRECT(ADDRESS(ROW()-1, COLUMN())))=1,"",INDIRECT(ADDRESS(41,7))-INDIRECT(ADDRESS(41,6)))</f>
        <v>-3</v>
      </c>
      <c r="J7" s="12">
        <f ca="1">IF(LEN(INDIRECT(ADDRESS(ROW()-1, COLUMN())))=1,"",INDIRECT(ADDRESS(21,6))-INDIRECT(ADDRESS(21,7)))</f>
        <v>-5</v>
      </c>
      <c r="K7" s="13">
        <f ca="1">IF(LEN(INDIRECT(ADDRESS(ROW()-1, COLUMN())))=1,"",INDIRECT(ADDRESS(30,6))-INDIRECT(ADDRESS(30,7)))</f>
        <v>4</v>
      </c>
      <c r="L7" s="61"/>
      <c r="M7" s="12">
        <f ca="1">IF(COUNT(F7:K7)=0,"",SUM(F7:K7))</f>
        <v>0</v>
      </c>
      <c r="N7" s="66"/>
    </row>
    <row r="8" spans="2:14" ht="21" x14ac:dyDescent="0.25">
      <c r="B8" s="53">
        <v>3</v>
      </c>
      <c r="C8" s="55" t="s">
        <v>54</v>
      </c>
      <c r="D8" s="56"/>
      <c r="E8" s="57"/>
      <c r="F8" s="14" t="str">
        <f ca="1">INDIRECT(ADDRESS(31,6))&amp;":"&amp;INDIRECT(ADDRESS(31,7))</f>
        <v>2:13</v>
      </c>
      <c r="G8" s="16" t="str">
        <f ca="1">INDIRECT(ADDRESS(37,7))&amp;":"&amp;INDIRECT(ADDRESS(37,6))</f>
        <v>3:13</v>
      </c>
      <c r="H8" s="15" t="s">
        <v>4</v>
      </c>
      <c r="I8" s="16" t="str">
        <f ca="1">INDIRECT(ADDRESS(22,6))&amp;":"&amp;INDIRECT(ADDRESS(22,7))</f>
        <v>4:11</v>
      </c>
      <c r="J8" s="16" t="str">
        <f ca="1">INDIRECT(ADDRESS(26,7))&amp;":"&amp;INDIRECT(ADDRESS(26,6))</f>
        <v>3:13</v>
      </c>
      <c r="K8" s="17" t="str">
        <f ca="1">INDIRECT(ADDRESS(40,6))&amp;":"&amp;INDIRECT(ADDRESS(40,7))</f>
        <v>6:13</v>
      </c>
      <c r="L8" s="61">
        <f ca="1">IF(COUNT(F9:K9)=0,"",COUNTIF(F9:K9,"&gt;0")+0.5*COUNTIF(F9:K9,0))</f>
        <v>0</v>
      </c>
      <c r="M8" s="12"/>
      <c r="N8" s="63">
        <v>6</v>
      </c>
    </row>
    <row r="9" spans="2:14" ht="21" x14ac:dyDescent="0.25">
      <c r="B9" s="65"/>
      <c r="C9" s="55"/>
      <c r="D9" s="56"/>
      <c r="E9" s="57"/>
      <c r="F9" s="18">
        <f ca="1">IF(LEN(INDIRECT(ADDRESS(ROW()-1, COLUMN())))=1,"",INDIRECT(ADDRESS(31,6))-INDIRECT(ADDRESS(31,7)))</f>
        <v>-11</v>
      </c>
      <c r="G9" s="12">
        <f ca="1">IF(LEN(INDIRECT(ADDRESS(ROW()-1, COLUMN())))=1,"",INDIRECT(ADDRESS(37,7))-INDIRECT(ADDRESS(37,6)))</f>
        <v>-10</v>
      </c>
      <c r="H9" s="19" t="s">
        <v>4</v>
      </c>
      <c r="I9" s="12">
        <f ca="1">IF(LEN(INDIRECT(ADDRESS(ROW()-1, COLUMN())))=1,"",INDIRECT(ADDRESS(22,6))-INDIRECT(ADDRESS(22,7)))</f>
        <v>-7</v>
      </c>
      <c r="J9" s="12">
        <f ca="1">IF(LEN(INDIRECT(ADDRESS(ROW()-1, COLUMN())))=1,"",INDIRECT(ADDRESS(26,7))-INDIRECT(ADDRESS(26,6)))</f>
        <v>-10</v>
      </c>
      <c r="K9" s="13">
        <f ca="1">IF(LEN(INDIRECT(ADDRESS(ROW()-1, COLUMN())))=1,"",INDIRECT(ADDRESS(40,6))-INDIRECT(ADDRESS(40,7)))</f>
        <v>-7</v>
      </c>
      <c r="L9" s="61"/>
      <c r="M9" s="12">
        <f ca="1">IF(COUNT(F9:K9)=0,"",SUM(F9:K9))</f>
        <v>-45</v>
      </c>
      <c r="N9" s="66"/>
    </row>
    <row r="10" spans="2:14" ht="21" x14ac:dyDescent="0.25">
      <c r="B10" s="53">
        <v>4</v>
      </c>
      <c r="C10" s="67" t="s">
        <v>55</v>
      </c>
      <c r="D10" s="68"/>
      <c r="E10" s="69"/>
      <c r="F10" s="14" t="str">
        <f ca="1">INDIRECT(ADDRESS(36,7))&amp;":"&amp;INDIRECT(ADDRESS(36,6))</f>
        <v>7:12</v>
      </c>
      <c r="G10" s="16" t="str">
        <f ca="1">INDIRECT(ADDRESS(41,6))&amp;":"&amp;INDIRECT(ADDRESS(41,7))</f>
        <v>12:9</v>
      </c>
      <c r="H10" s="16" t="str">
        <f ca="1">INDIRECT(ADDRESS(22,7))&amp;":"&amp;INDIRECT(ADDRESS(22,6))</f>
        <v>11:4</v>
      </c>
      <c r="I10" s="15" t="s">
        <v>4</v>
      </c>
      <c r="J10" s="16" t="str">
        <f ca="1">INDIRECT(ADDRESS(32,6))&amp;":"&amp;INDIRECT(ADDRESS(32,7))</f>
        <v>2:13</v>
      </c>
      <c r="K10" s="17" t="str">
        <f ca="1">INDIRECT(ADDRESS(25,7))&amp;":"&amp;INDIRECT(ADDRESS(25,6))</f>
        <v>9:5</v>
      </c>
      <c r="L10" s="61">
        <f ca="1">IF(COUNT(F11:K11)=0,"",COUNTIF(F11:K11,"&gt;0")+0.5*COUNTIF(F11:K11,0))</f>
        <v>3</v>
      </c>
      <c r="M10" s="12"/>
      <c r="N10" s="63">
        <v>3</v>
      </c>
    </row>
    <row r="11" spans="2:14" ht="21" x14ac:dyDescent="0.25">
      <c r="B11" s="65"/>
      <c r="C11" s="67"/>
      <c r="D11" s="68"/>
      <c r="E11" s="69"/>
      <c r="F11" s="18">
        <f ca="1">IF(LEN(INDIRECT(ADDRESS(ROW()-1, COLUMN())))=1,"",INDIRECT(ADDRESS(36,7))-INDIRECT(ADDRESS(36,6)))</f>
        <v>-5</v>
      </c>
      <c r="G11" s="12">
        <f ca="1">IF(LEN(INDIRECT(ADDRESS(ROW()-1, COLUMN())))=1,"",INDIRECT(ADDRESS(41,6))-INDIRECT(ADDRESS(41,7)))</f>
        <v>3</v>
      </c>
      <c r="H11" s="12">
        <f ca="1">IF(LEN(INDIRECT(ADDRESS(ROW()-1, COLUMN())))=1,"",INDIRECT(ADDRESS(22,7))-INDIRECT(ADDRESS(22,6)))</f>
        <v>7</v>
      </c>
      <c r="I11" s="19" t="s">
        <v>4</v>
      </c>
      <c r="J11" s="12">
        <f ca="1">IF(LEN(INDIRECT(ADDRESS(ROW()-1, COLUMN())))=1,"",INDIRECT(ADDRESS(32,6))-INDIRECT(ADDRESS(32,7)))</f>
        <v>-11</v>
      </c>
      <c r="K11" s="13">
        <f ca="1">IF(LEN(INDIRECT(ADDRESS(ROW()-1, COLUMN())))=1,"",INDIRECT(ADDRESS(25,7))-INDIRECT(ADDRESS(25,6)))</f>
        <v>4</v>
      </c>
      <c r="L11" s="61"/>
      <c r="M11" s="12">
        <f ca="1">IF(COUNT(F11:K11)=0,"",SUM(F11:K11))</f>
        <v>-2</v>
      </c>
      <c r="N11" s="66"/>
    </row>
    <row r="12" spans="2:14" ht="21" x14ac:dyDescent="0.25">
      <c r="B12" s="53">
        <v>5</v>
      </c>
      <c r="C12" s="67" t="s">
        <v>56</v>
      </c>
      <c r="D12" s="68"/>
      <c r="E12" s="69"/>
      <c r="F12" s="14" t="str">
        <f ca="1">INDIRECT(ADDRESS(42,6))&amp;":"&amp;INDIRECT(ADDRESS(42,7))</f>
        <v>13:11</v>
      </c>
      <c r="G12" s="16" t="str">
        <f ca="1">INDIRECT(ADDRESS(21,7))&amp;":"&amp;INDIRECT(ADDRESS(21,6))</f>
        <v>13:8</v>
      </c>
      <c r="H12" s="16" t="str">
        <f ca="1">INDIRECT(ADDRESS(26,6))&amp;":"&amp;INDIRECT(ADDRESS(26,7))</f>
        <v>13:3</v>
      </c>
      <c r="I12" s="16" t="str">
        <f ca="1">INDIRECT(ADDRESS(32,7))&amp;":"&amp;INDIRECT(ADDRESS(32,6))</f>
        <v>13:2</v>
      </c>
      <c r="J12" s="15" t="s">
        <v>4</v>
      </c>
      <c r="K12" s="17" t="str">
        <f ca="1">INDIRECT(ADDRESS(35,7))&amp;":"&amp;INDIRECT(ADDRESS(35,6))</f>
        <v>7:13</v>
      </c>
      <c r="L12" s="61">
        <f ca="1">IF(COUNT(F13:K13)=0,"",COUNTIF(F13:K13,"&gt;0")+0.5*COUNTIF(F13:K13,0))</f>
        <v>4</v>
      </c>
      <c r="M12" s="12"/>
      <c r="N12" s="63">
        <v>1</v>
      </c>
    </row>
    <row r="13" spans="2:14" ht="21" x14ac:dyDescent="0.25">
      <c r="B13" s="65"/>
      <c r="C13" s="67"/>
      <c r="D13" s="68"/>
      <c r="E13" s="69"/>
      <c r="F13" s="18">
        <f ca="1">IF(LEN(INDIRECT(ADDRESS(ROW()-1, COLUMN())))=1,"",INDIRECT(ADDRESS(42,6))-INDIRECT(ADDRESS(42,7)))</f>
        <v>2</v>
      </c>
      <c r="G13" s="12">
        <f ca="1">IF(LEN(INDIRECT(ADDRESS(ROW()-1, COLUMN())))=1,"",INDIRECT(ADDRESS(21,7))-INDIRECT(ADDRESS(21,6)))</f>
        <v>5</v>
      </c>
      <c r="H13" s="12">
        <f ca="1">IF(LEN(INDIRECT(ADDRESS(ROW()-1, COLUMN())))=1,"",INDIRECT(ADDRESS(26,6))-INDIRECT(ADDRESS(26,7)))</f>
        <v>10</v>
      </c>
      <c r="I13" s="12">
        <f ca="1">IF(LEN(INDIRECT(ADDRESS(ROW()-1, COLUMN())))=1,"",INDIRECT(ADDRESS(32,7))-INDIRECT(ADDRESS(32,6)))</f>
        <v>11</v>
      </c>
      <c r="J13" s="19" t="s">
        <v>4</v>
      </c>
      <c r="K13" s="13">
        <f ca="1">IF(LEN(INDIRECT(ADDRESS(ROW()-1, COLUMN())))=1,"",INDIRECT(ADDRESS(35,7))-INDIRECT(ADDRESS(35,6)))</f>
        <v>-6</v>
      </c>
      <c r="L13" s="61"/>
      <c r="M13" s="12">
        <f ca="1">IF(COUNT(F13:K13)=0,"",SUM(F13:K13))</f>
        <v>22</v>
      </c>
      <c r="N13" s="66"/>
    </row>
    <row r="14" spans="2:14" ht="21" x14ac:dyDescent="0.25">
      <c r="B14" s="53">
        <v>6</v>
      </c>
      <c r="C14" s="55" t="s">
        <v>57</v>
      </c>
      <c r="D14" s="56"/>
      <c r="E14" s="57"/>
      <c r="F14" s="14" t="str">
        <f ca="1">INDIRECT(ADDRESS(20,7))&amp;":"&amp;INDIRECT(ADDRESS(20,6))</f>
        <v>8:13</v>
      </c>
      <c r="G14" s="16" t="str">
        <f ca="1">INDIRECT(ADDRESS(30,7))&amp;":"&amp;INDIRECT(ADDRESS(30,6))</f>
        <v>9:13</v>
      </c>
      <c r="H14" s="16" t="str">
        <f ca="1">INDIRECT(ADDRESS(40,7))&amp;":"&amp;INDIRECT(ADDRESS(40,6))</f>
        <v>13:6</v>
      </c>
      <c r="I14" s="16" t="str">
        <f ca="1">INDIRECT(ADDRESS(25,6))&amp;":"&amp;INDIRECT(ADDRESS(25,7))</f>
        <v>5:9</v>
      </c>
      <c r="J14" s="16" t="str">
        <f ca="1">INDIRECT(ADDRESS(35,6))&amp;":"&amp;INDIRECT(ADDRESS(35,7))</f>
        <v>13:7</v>
      </c>
      <c r="K14" s="20" t="s">
        <v>4</v>
      </c>
      <c r="L14" s="61">
        <f ca="1">IF(COUNT(F15:K15)=0,"",COUNTIF(F15:K15,"&gt;0")+0.5*COUNTIF(F15:K15,0))</f>
        <v>2</v>
      </c>
      <c r="M14" s="12"/>
      <c r="N14" s="63">
        <v>5</v>
      </c>
    </row>
    <row r="15" spans="2:14" ht="21.75" thickBot="1" x14ac:dyDescent="0.3">
      <c r="B15" s="54"/>
      <c r="C15" s="58"/>
      <c r="D15" s="59"/>
      <c r="E15" s="60"/>
      <c r="F15" s="21">
        <f ca="1">IF(LEN(INDIRECT(ADDRESS(ROW()-1, COLUMN())))=1,"",INDIRECT(ADDRESS(20,7))-INDIRECT(ADDRESS(20,6)))</f>
        <v>-5</v>
      </c>
      <c r="G15" s="22">
        <f ca="1">IF(LEN(INDIRECT(ADDRESS(ROW()-1, COLUMN())))=1,"",INDIRECT(ADDRESS(30,7))-INDIRECT(ADDRESS(30,6)))</f>
        <v>-4</v>
      </c>
      <c r="H15" s="22">
        <f ca="1">IF(LEN(INDIRECT(ADDRESS(ROW()-1, COLUMN())))=1,"",INDIRECT(ADDRESS(40,7))-INDIRECT(ADDRESS(40,6)))</f>
        <v>7</v>
      </c>
      <c r="I15" s="22">
        <f ca="1">IF(LEN(INDIRECT(ADDRESS(ROW()-1, COLUMN())))=1,"",INDIRECT(ADDRESS(25,6))-INDIRECT(ADDRESS(25,7)))</f>
        <v>-4</v>
      </c>
      <c r="J15" s="22">
        <f ca="1">IF(LEN(INDIRECT(ADDRESS(ROW()-1, COLUMN())))=1,"",INDIRECT(ADDRESS(35,6))-INDIRECT(ADDRESS(35,7)))</f>
        <v>6</v>
      </c>
      <c r="K15" s="23" t="s">
        <v>4</v>
      </c>
      <c r="L15" s="62"/>
      <c r="M15" s="22">
        <f ca="1">IF(COUNT(F15:K15)=0,"",SUM(F15:K15))</f>
        <v>0</v>
      </c>
      <c r="N15" s="64"/>
    </row>
    <row r="16" spans="2:14" x14ac:dyDescent="0.25">
      <c r="M16"/>
    </row>
    <row r="17" spans="1:13" x14ac:dyDescent="0.25">
      <c r="M17"/>
    </row>
    <row r="18" spans="1:13" x14ac:dyDescent="0.25">
      <c r="M18"/>
    </row>
    <row r="19" spans="1:13" s="25" customFormat="1" ht="21.75" thickBot="1" x14ac:dyDescent="0.4">
      <c r="A19" s="24"/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3" s="25" customFormat="1" ht="21.75" thickBot="1" x14ac:dyDescent="0.4">
      <c r="A20" s="24"/>
      <c r="B20" s="26">
        <v>1</v>
      </c>
      <c r="C20" s="49" t="str">
        <f ca="1">IF(ISBLANK(INDIRECT(ADDRESS(B20*2+2,3))),"",INDIRECT(ADDRESS(B20*2+2,3)))</f>
        <v>Баринова, Банщиков</v>
      </c>
      <c r="D20" s="49"/>
      <c r="E20" s="50"/>
      <c r="F20" s="27">
        <v>13</v>
      </c>
      <c r="G20" s="28">
        <v>8</v>
      </c>
      <c r="H20" s="51" t="str">
        <f ca="1">IF(ISBLANK(INDIRECT(ADDRESS(K20*2+2,3))),"",INDIRECT(ADDRESS(K20*2+2,3)))</f>
        <v>Трушины</v>
      </c>
      <c r="I20" s="49"/>
      <c r="J20" s="49"/>
      <c r="K20" s="26">
        <v>6</v>
      </c>
      <c r="L20" s="29" t="s">
        <v>6</v>
      </c>
      <c r="M20" s="30">
        <v>4</v>
      </c>
    </row>
    <row r="21" spans="1:13" s="25" customFormat="1" ht="21.75" thickBot="1" x14ac:dyDescent="0.4">
      <c r="A21" s="24"/>
      <c r="B21" s="26">
        <v>2</v>
      </c>
      <c r="C21" s="49" t="str">
        <f ca="1">IF(ISBLANK(INDIRECT(ADDRESS(B21*2+2,3))),"",INDIRECT(ADDRESS(B21*2+2,3)))</f>
        <v>Чекмарева, Давыдов</v>
      </c>
      <c r="D21" s="49"/>
      <c r="E21" s="50"/>
      <c r="F21" s="27">
        <v>8</v>
      </c>
      <c r="G21" s="28">
        <v>13</v>
      </c>
      <c r="H21" s="51" t="str">
        <f ca="1">IF(ISBLANK(INDIRECT(ADDRESS(K21*2+2,3))),"",INDIRECT(ADDRESS(K21*2+2,3)))</f>
        <v>Соколова, Каргашин</v>
      </c>
      <c r="I21" s="49"/>
      <c r="J21" s="49"/>
      <c r="K21" s="26">
        <v>5</v>
      </c>
      <c r="L21" s="29" t="s">
        <v>6</v>
      </c>
      <c r="M21" s="30">
        <v>5</v>
      </c>
    </row>
    <row r="22" spans="1:13" s="25" customFormat="1" ht="21.75" thickBot="1" x14ac:dyDescent="0.4">
      <c r="A22" s="24"/>
      <c r="B22" s="26">
        <v>3</v>
      </c>
      <c r="C22" s="49" t="str">
        <f ca="1">IF(ISBLANK(INDIRECT(ADDRESS(B22*2+2,3))),"",INDIRECT(ADDRESS(B22*2+2,3)))</f>
        <v>Волчек, Хафидо</v>
      </c>
      <c r="D22" s="49"/>
      <c r="E22" s="50"/>
      <c r="F22" s="27">
        <v>4</v>
      </c>
      <c r="G22" s="28">
        <v>11</v>
      </c>
      <c r="H22" s="51" t="str">
        <f ca="1">IF(ISBLANK(INDIRECT(ADDRESS(K22*2+2,3))),"",INDIRECT(ADDRESS(K22*2+2,3)))</f>
        <v>Тюрина, Кравцов</v>
      </c>
      <c r="I22" s="49"/>
      <c r="J22" s="49"/>
      <c r="K22" s="26">
        <v>4</v>
      </c>
      <c r="L22" s="29" t="s">
        <v>6</v>
      </c>
      <c r="M22" s="30">
        <v>6</v>
      </c>
    </row>
    <row r="23" spans="1:13" s="25" customFormat="1" ht="21" x14ac:dyDescent="0.35">
      <c r="A23" s="24"/>
      <c r="M23" s="31"/>
    </row>
    <row r="24" spans="1:13" s="25" customFormat="1" ht="21.75" thickBot="1" x14ac:dyDescent="0.4">
      <c r="A24" s="24"/>
      <c r="B24" s="52" t="s">
        <v>7</v>
      </c>
      <c r="C24" s="52"/>
      <c r="D24" s="52"/>
      <c r="E24" s="52"/>
      <c r="F24" s="52"/>
      <c r="G24" s="52"/>
      <c r="H24" s="52"/>
      <c r="I24" s="52"/>
      <c r="J24" s="52"/>
      <c r="K24" s="52"/>
      <c r="M24" s="31"/>
    </row>
    <row r="25" spans="1:13" s="25" customFormat="1" ht="21.75" thickBot="1" x14ac:dyDescent="0.4">
      <c r="A25" s="24"/>
      <c r="B25" s="26">
        <v>6</v>
      </c>
      <c r="C25" s="49" t="str">
        <f ca="1">IF(ISBLANK(INDIRECT(ADDRESS(B25*2+2,3))),"",INDIRECT(ADDRESS(B25*2+2,3)))</f>
        <v>Трушины</v>
      </c>
      <c r="D25" s="49"/>
      <c r="E25" s="50"/>
      <c r="F25" s="27">
        <v>5</v>
      </c>
      <c r="G25" s="28">
        <v>9</v>
      </c>
      <c r="H25" s="51" t="str">
        <f ca="1">IF(ISBLANK(INDIRECT(ADDRESS(K25*2+2,3))),"",INDIRECT(ADDRESS(K25*2+2,3)))</f>
        <v>Тюрина, Кравцов</v>
      </c>
      <c r="I25" s="49"/>
      <c r="J25" s="49"/>
      <c r="K25" s="26">
        <v>4</v>
      </c>
      <c r="L25" s="29" t="s">
        <v>6</v>
      </c>
      <c r="M25" s="30">
        <v>7</v>
      </c>
    </row>
    <row r="26" spans="1:13" s="25" customFormat="1" ht="21.75" thickBot="1" x14ac:dyDescent="0.4">
      <c r="A26" s="24"/>
      <c r="B26" s="26">
        <v>5</v>
      </c>
      <c r="C26" s="49" t="str">
        <f ca="1">IF(ISBLANK(INDIRECT(ADDRESS(B26*2+2,3))),"",INDIRECT(ADDRESS(B26*2+2,3)))</f>
        <v>Соколова, Каргашин</v>
      </c>
      <c r="D26" s="49"/>
      <c r="E26" s="50"/>
      <c r="F26" s="27">
        <v>13</v>
      </c>
      <c r="G26" s="28">
        <v>3</v>
      </c>
      <c r="H26" s="51" t="str">
        <f ca="1">IF(ISBLANK(INDIRECT(ADDRESS(K26*2+2,3))),"",INDIRECT(ADDRESS(K26*2+2,3)))</f>
        <v>Волчек, Хафидо</v>
      </c>
      <c r="I26" s="49"/>
      <c r="J26" s="49"/>
      <c r="K26" s="26">
        <v>3</v>
      </c>
      <c r="L26" s="29" t="s">
        <v>6</v>
      </c>
      <c r="M26" s="30">
        <v>8</v>
      </c>
    </row>
    <row r="27" spans="1:13" s="25" customFormat="1" ht="21.75" thickBot="1" x14ac:dyDescent="0.4">
      <c r="A27" s="24"/>
      <c r="B27" s="26">
        <v>1</v>
      </c>
      <c r="C27" s="49" t="str">
        <f ca="1">IF(ISBLANK(INDIRECT(ADDRESS(B27*2+2,3))),"",INDIRECT(ADDRESS(B27*2+2,3)))</f>
        <v>Баринова, Банщиков</v>
      </c>
      <c r="D27" s="49"/>
      <c r="E27" s="50"/>
      <c r="F27" s="27">
        <v>13</v>
      </c>
      <c r="G27" s="28">
        <v>7</v>
      </c>
      <c r="H27" s="51" t="str">
        <f ca="1">IF(ISBLANK(INDIRECT(ADDRESS(K27*2+2,3))),"",INDIRECT(ADDRESS(K27*2+2,3)))</f>
        <v>Чекмарева, Давыдов</v>
      </c>
      <c r="I27" s="49"/>
      <c r="J27" s="49"/>
      <c r="K27" s="26">
        <v>2</v>
      </c>
      <c r="L27" s="29" t="s">
        <v>6</v>
      </c>
      <c r="M27" s="30" t="s">
        <v>45</v>
      </c>
    </row>
    <row r="28" spans="1:13" s="25" customFormat="1" ht="21" x14ac:dyDescent="0.35">
      <c r="A28" s="24"/>
      <c r="M28" s="31"/>
    </row>
    <row r="29" spans="1:13" s="25" customFormat="1" ht="21.75" thickBot="1" x14ac:dyDescent="0.4">
      <c r="A29" s="24"/>
      <c r="B29" s="52" t="s">
        <v>8</v>
      </c>
      <c r="C29" s="52"/>
      <c r="D29" s="52"/>
      <c r="E29" s="52"/>
      <c r="F29" s="52"/>
      <c r="G29" s="52"/>
      <c r="H29" s="52"/>
      <c r="I29" s="52"/>
      <c r="J29" s="52"/>
      <c r="K29" s="52"/>
      <c r="M29" s="31"/>
    </row>
    <row r="30" spans="1:13" s="25" customFormat="1" ht="21.75" thickBot="1" x14ac:dyDescent="0.4">
      <c r="A30" s="24"/>
      <c r="B30" s="26">
        <v>2</v>
      </c>
      <c r="C30" s="49" t="str">
        <f ca="1">IF(ISBLANK(INDIRECT(ADDRESS(B30*2+2,3))),"",INDIRECT(ADDRESS(B30*2+2,3)))</f>
        <v>Чекмарева, Давыдов</v>
      </c>
      <c r="D30" s="49"/>
      <c r="E30" s="50"/>
      <c r="F30" s="27">
        <v>13</v>
      </c>
      <c r="G30" s="28">
        <v>9</v>
      </c>
      <c r="H30" s="51" t="str">
        <f ca="1">IF(ISBLANK(INDIRECT(ADDRESS(K30*2+2,3))),"",INDIRECT(ADDRESS(K30*2+2,3)))</f>
        <v>Трушины</v>
      </c>
      <c r="I30" s="49"/>
      <c r="J30" s="49"/>
      <c r="K30" s="26">
        <v>6</v>
      </c>
      <c r="L30" s="29" t="s">
        <v>6</v>
      </c>
      <c r="M30" s="30">
        <v>1</v>
      </c>
    </row>
    <row r="31" spans="1:13" s="25" customFormat="1" ht="21.75" thickBot="1" x14ac:dyDescent="0.4">
      <c r="A31" s="24"/>
      <c r="B31" s="26">
        <v>3</v>
      </c>
      <c r="C31" s="49" t="str">
        <f ca="1">IF(ISBLANK(INDIRECT(ADDRESS(B31*2+2,3))),"",INDIRECT(ADDRESS(B31*2+2,3)))</f>
        <v>Волчек, Хафидо</v>
      </c>
      <c r="D31" s="49"/>
      <c r="E31" s="50"/>
      <c r="F31" s="27">
        <v>2</v>
      </c>
      <c r="G31" s="28">
        <v>13</v>
      </c>
      <c r="H31" s="51" t="str">
        <f ca="1">IF(ISBLANK(INDIRECT(ADDRESS(K31*2+2,3))),"",INDIRECT(ADDRESS(K31*2+2,3)))</f>
        <v>Баринова, Банщиков</v>
      </c>
      <c r="I31" s="49"/>
      <c r="J31" s="49"/>
      <c r="K31" s="26">
        <v>1</v>
      </c>
      <c r="L31" s="29" t="s">
        <v>6</v>
      </c>
      <c r="M31" s="30">
        <v>2</v>
      </c>
    </row>
    <row r="32" spans="1:13" s="25" customFormat="1" ht="21.75" thickBot="1" x14ac:dyDescent="0.4">
      <c r="A32" s="24"/>
      <c r="B32" s="26">
        <v>4</v>
      </c>
      <c r="C32" s="49" t="str">
        <f ca="1">IF(ISBLANK(INDIRECT(ADDRESS(B32*2+2,3))),"",INDIRECT(ADDRESS(B32*2+2,3)))</f>
        <v>Тюрина, Кравцов</v>
      </c>
      <c r="D32" s="49"/>
      <c r="E32" s="50"/>
      <c r="F32" s="27">
        <v>2</v>
      </c>
      <c r="G32" s="28">
        <v>13</v>
      </c>
      <c r="H32" s="51" t="str">
        <f ca="1">IF(ISBLANK(INDIRECT(ADDRESS(K32*2+2,3))),"",INDIRECT(ADDRESS(K32*2+2,3)))</f>
        <v>Соколова, Каргашин</v>
      </c>
      <c r="I32" s="49"/>
      <c r="J32" s="49"/>
      <c r="K32" s="26">
        <v>5</v>
      </c>
      <c r="L32" s="29" t="s">
        <v>6</v>
      </c>
      <c r="M32" s="30">
        <v>3</v>
      </c>
    </row>
    <row r="33" spans="1:13" s="25" customFormat="1" ht="21" x14ac:dyDescent="0.35">
      <c r="A33" s="24"/>
      <c r="M33" s="31"/>
    </row>
    <row r="34" spans="1:13" s="25" customFormat="1" ht="21.75" thickBot="1" x14ac:dyDescent="0.4">
      <c r="A34" s="24"/>
      <c r="B34" s="52" t="s">
        <v>9</v>
      </c>
      <c r="C34" s="52"/>
      <c r="D34" s="52"/>
      <c r="E34" s="52"/>
      <c r="F34" s="52"/>
      <c r="G34" s="52"/>
      <c r="H34" s="52"/>
      <c r="I34" s="52"/>
      <c r="J34" s="52"/>
      <c r="K34" s="52"/>
      <c r="M34" s="31"/>
    </row>
    <row r="35" spans="1:13" s="25" customFormat="1" ht="21.75" thickBot="1" x14ac:dyDescent="0.4">
      <c r="A35" s="24"/>
      <c r="B35" s="26">
        <v>6</v>
      </c>
      <c r="C35" s="49" t="str">
        <f ca="1">IF(ISBLANK(INDIRECT(ADDRESS(B35*2+2,3))),"",INDIRECT(ADDRESS(B35*2+2,3)))</f>
        <v>Трушины</v>
      </c>
      <c r="D35" s="49"/>
      <c r="E35" s="50"/>
      <c r="F35" s="27">
        <v>13</v>
      </c>
      <c r="G35" s="28">
        <v>7</v>
      </c>
      <c r="H35" s="51" t="str">
        <f ca="1">IF(ISBLANK(INDIRECT(ADDRESS(K35*2+2,3))),"",INDIRECT(ADDRESS(K35*2+2,3)))</f>
        <v>Соколова, Каргашин</v>
      </c>
      <c r="I35" s="49"/>
      <c r="J35" s="49"/>
      <c r="K35" s="26">
        <v>5</v>
      </c>
      <c r="L35" s="29" t="s">
        <v>6</v>
      </c>
      <c r="M35" s="30">
        <v>5</v>
      </c>
    </row>
    <row r="36" spans="1:13" s="25" customFormat="1" ht="21.75" thickBot="1" x14ac:dyDescent="0.4">
      <c r="A36" s="24"/>
      <c r="B36" s="26">
        <v>1</v>
      </c>
      <c r="C36" s="49" t="str">
        <f ca="1">IF(ISBLANK(INDIRECT(ADDRESS(B36*2+2,3))),"",INDIRECT(ADDRESS(B36*2+2,3)))</f>
        <v>Баринова, Банщиков</v>
      </c>
      <c r="D36" s="49"/>
      <c r="E36" s="50"/>
      <c r="F36" s="27">
        <v>12</v>
      </c>
      <c r="G36" s="28">
        <v>7</v>
      </c>
      <c r="H36" s="51" t="str">
        <f ca="1">IF(ISBLANK(INDIRECT(ADDRESS(K36*2+2,3))),"",INDIRECT(ADDRESS(K36*2+2,3)))</f>
        <v>Тюрина, Кравцов</v>
      </c>
      <c r="I36" s="49"/>
      <c r="J36" s="49"/>
      <c r="K36" s="26">
        <v>4</v>
      </c>
      <c r="L36" s="29" t="s">
        <v>6</v>
      </c>
      <c r="M36" s="30">
        <v>6</v>
      </c>
    </row>
    <row r="37" spans="1:13" s="25" customFormat="1" ht="21.75" thickBot="1" x14ac:dyDescent="0.4">
      <c r="A37" s="24"/>
      <c r="B37" s="26">
        <v>2</v>
      </c>
      <c r="C37" s="49" t="str">
        <f ca="1">IF(ISBLANK(INDIRECT(ADDRESS(B37*2+2,3))),"",INDIRECT(ADDRESS(B37*2+2,3)))</f>
        <v>Чекмарева, Давыдов</v>
      </c>
      <c r="D37" s="49"/>
      <c r="E37" s="50"/>
      <c r="F37" s="27">
        <v>13</v>
      </c>
      <c r="G37" s="28">
        <v>3</v>
      </c>
      <c r="H37" s="51" t="str">
        <f ca="1">IF(ISBLANK(INDIRECT(ADDRESS(K37*2+2,3))),"",INDIRECT(ADDRESS(K37*2+2,3)))</f>
        <v>Волчек, Хафидо</v>
      </c>
      <c r="I37" s="49"/>
      <c r="J37" s="49"/>
      <c r="K37" s="26">
        <v>3</v>
      </c>
      <c r="L37" s="29" t="s">
        <v>6</v>
      </c>
      <c r="M37" s="30">
        <v>4</v>
      </c>
    </row>
    <row r="38" spans="1:13" s="25" customFormat="1" ht="21" x14ac:dyDescent="0.35">
      <c r="A38" s="24"/>
      <c r="M38" s="31"/>
    </row>
    <row r="39" spans="1:13" s="25" customFormat="1" ht="21.75" thickBot="1" x14ac:dyDescent="0.4">
      <c r="A39" s="24"/>
      <c r="B39" s="52" t="s">
        <v>10</v>
      </c>
      <c r="C39" s="52"/>
      <c r="D39" s="52"/>
      <c r="E39" s="52"/>
      <c r="F39" s="52"/>
      <c r="G39" s="52"/>
      <c r="H39" s="52"/>
      <c r="I39" s="52"/>
      <c r="J39" s="52"/>
      <c r="K39" s="52"/>
      <c r="M39" s="31"/>
    </row>
    <row r="40" spans="1:13" s="25" customFormat="1" ht="21.75" thickBot="1" x14ac:dyDescent="0.4">
      <c r="A40" s="24"/>
      <c r="B40" s="26">
        <v>3</v>
      </c>
      <c r="C40" s="49" t="str">
        <f ca="1">IF(ISBLANK(INDIRECT(ADDRESS(B40*2+2,3))),"",INDIRECT(ADDRESS(B40*2+2,3)))</f>
        <v>Волчек, Хафидо</v>
      </c>
      <c r="D40" s="49"/>
      <c r="E40" s="50"/>
      <c r="F40" s="27">
        <v>6</v>
      </c>
      <c r="G40" s="28">
        <v>13</v>
      </c>
      <c r="H40" s="51" t="str">
        <f ca="1">IF(ISBLANK(INDIRECT(ADDRESS(K40*2+2,3))),"",INDIRECT(ADDRESS(K40*2+2,3)))</f>
        <v>Трушины</v>
      </c>
      <c r="I40" s="49"/>
      <c r="J40" s="49"/>
      <c r="K40" s="26">
        <v>6</v>
      </c>
      <c r="L40" s="29" t="s">
        <v>6</v>
      </c>
      <c r="M40" s="30">
        <v>7</v>
      </c>
    </row>
    <row r="41" spans="1:13" s="25" customFormat="1" ht="21.75" thickBot="1" x14ac:dyDescent="0.4">
      <c r="A41" s="24"/>
      <c r="B41" s="26">
        <v>4</v>
      </c>
      <c r="C41" s="49" t="str">
        <f ca="1">IF(ISBLANK(INDIRECT(ADDRESS(B41*2+2,3))),"",INDIRECT(ADDRESS(B41*2+2,3)))</f>
        <v>Тюрина, Кравцов</v>
      </c>
      <c r="D41" s="49"/>
      <c r="E41" s="50"/>
      <c r="F41" s="27">
        <v>12</v>
      </c>
      <c r="G41" s="28">
        <v>9</v>
      </c>
      <c r="H41" s="51" t="str">
        <f ca="1">IF(ISBLANK(INDIRECT(ADDRESS(K41*2+2,3))),"",INDIRECT(ADDRESS(K41*2+2,3)))</f>
        <v>Чекмарева, Давыдов</v>
      </c>
      <c r="I41" s="49"/>
      <c r="J41" s="49"/>
      <c r="K41" s="26">
        <v>2</v>
      </c>
      <c r="L41" s="29" t="s">
        <v>6</v>
      </c>
      <c r="M41" s="30">
        <v>8</v>
      </c>
    </row>
    <row r="42" spans="1:13" s="25" customFormat="1" ht="21.75" thickBot="1" x14ac:dyDescent="0.4">
      <c r="A42" s="24"/>
      <c r="B42" s="26">
        <v>5</v>
      </c>
      <c r="C42" s="49" t="str">
        <f ca="1">IF(ISBLANK(INDIRECT(ADDRESS(B42*2+2,3))),"",INDIRECT(ADDRESS(B42*2+2,3)))</f>
        <v>Соколова, Каргашин</v>
      </c>
      <c r="D42" s="49"/>
      <c r="E42" s="50"/>
      <c r="F42" s="27">
        <v>13</v>
      </c>
      <c r="G42" s="28">
        <v>11</v>
      </c>
      <c r="H42" s="51" t="str">
        <f ca="1">IF(ISBLANK(INDIRECT(ADDRESS(K42*2+2,3))),"",INDIRECT(ADDRESS(K42*2+2,3)))</f>
        <v>Баринова, Банщиков</v>
      </c>
      <c r="I42" s="49"/>
      <c r="J42" s="49"/>
      <c r="K42" s="26">
        <v>1</v>
      </c>
      <c r="L42" s="29" t="s">
        <v>6</v>
      </c>
      <c r="M42" s="30" t="s">
        <v>45</v>
      </c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25" right="0.25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opLeftCell="A25" workbookViewId="0">
      <selection activeCell="O40" sqref="O40"/>
    </sheetView>
  </sheetViews>
  <sheetFormatPr defaultRowHeight="15" x14ac:dyDescent="0.25"/>
  <cols>
    <col min="1" max="1" width="4" style="47" customWidth="1"/>
    <col min="2" max="12" width="10.28515625" customWidth="1"/>
    <col min="13" max="13" width="10.28515625" style="32" customWidth="1"/>
    <col min="14" max="15" width="10.28515625" customWidth="1"/>
  </cols>
  <sheetData>
    <row r="1" spans="2:14" customFormat="1" ht="31.5" x14ac:dyDescent="0.25">
      <c r="B1" s="71" t="s">
        <v>15</v>
      </c>
      <c r="C1" s="71"/>
      <c r="D1" s="71"/>
      <c r="E1" s="71"/>
      <c r="F1" s="71"/>
      <c r="G1" s="71"/>
      <c r="H1" s="71"/>
      <c r="I1" s="71"/>
      <c r="J1" s="71"/>
      <c r="K1" s="71"/>
    </row>
    <row r="2" spans="2:14" customFormat="1" ht="15.75" thickBot="1" x14ac:dyDescent="0.3"/>
    <row r="3" spans="2:14" customFormat="1" ht="15.75" thickBot="1" x14ac:dyDescent="0.3">
      <c r="B3" s="46"/>
      <c r="C3" s="72" t="s">
        <v>0</v>
      </c>
      <c r="D3" s="73"/>
      <c r="E3" s="74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4" customFormat="1" ht="21" x14ac:dyDescent="0.25">
      <c r="B4" s="75">
        <v>1</v>
      </c>
      <c r="C4" s="86" t="s">
        <v>58</v>
      </c>
      <c r="D4" s="87"/>
      <c r="E4" s="88"/>
      <c r="F4" s="7" t="s">
        <v>4</v>
      </c>
      <c r="G4" s="8" t="str">
        <f ca="1">INDIRECT(ADDRESS(27,6))&amp;":"&amp;INDIRECT(ADDRESS(27,7))</f>
        <v>4:12</v>
      </c>
      <c r="H4" s="8" t="str">
        <f ca="1">INDIRECT(ADDRESS(31,7))&amp;":"&amp;INDIRECT(ADDRESS(31,6))</f>
        <v>7:11</v>
      </c>
      <c r="I4" s="8" t="str">
        <f ca="1">INDIRECT(ADDRESS(36,6))&amp;":"&amp;INDIRECT(ADDRESS(36,7))</f>
        <v>3:13</v>
      </c>
      <c r="J4" s="8" t="str">
        <f ca="1">INDIRECT(ADDRESS(42,7))&amp;":"&amp;INDIRECT(ADDRESS(42,6))</f>
        <v>13:5</v>
      </c>
      <c r="K4" s="9" t="str">
        <f ca="1">INDIRECT(ADDRESS(20,6))&amp;":"&amp;INDIRECT(ADDRESS(20,7))</f>
        <v>13:6</v>
      </c>
      <c r="L4" s="79">
        <f ca="1">IF(COUNT(F5:K5)=0,"",COUNTIF(F5:K5,"&gt;0")+0.5*COUNTIF(F5:K5,0))</f>
        <v>2</v>
      </c>
      <c r="M4" s="10"/>
      <c r="N4" s="70">
        <v>4</v>
      </c>
    </row>
    <row r="5" spans="2:14" customFormat="1" ht="21" x14ac:dyDescent="0.25">
      <c r="B5" s="65"/>
      <c r="C5" s="55"/>
      <c r="D5" s="56"/>
      <c r="E5" s="57"/>
      <c r="F5" s="11" t="s">
        <v>4</v>
      </c>
      <c r="G5" s="12">
        <f ca="1">IF(LEN(INDIRECT(ADDRESS(ROW()-1, COLUMN())))=1,"",INDIRECT(ADDRESS(27,6))-INDIRECT(ADDRESS(27,7)))</f>
        <v>-8</v>
      </c>
      <c r="H5" s="12">
        <f ca="1">IF(LEN(INDIRECT(ADDRESS(ROW()-1, COLUMN())))=1,"",INDIRECT(ADDRESS(31,7))-INDIRECT(ADDRESS(31,6)))</f>
        <v>-4</v>
      </c>
      <c r="I5" s="12">
        <f ca="1">IF(LEN(INDIRECT(ADDRESS(ROW()-1, COLUMN())))=1,"",INDIRECT(ADDRESS(36,6))-INDIRECT(ADDRESS(36,7)))</f>
        <v>-10</v>
      </c>
      <c r="J5" s="12">
        <f ca="1">IF(LEN(INDIRECT(ADDRESS(ROW()-1, COLUMN())))=1,"",INDIRECT(ADDRESS(42,7))-INDIRECT(ADDRESS(42,6)))</f>
        <v>8</v>
      </c>
      <c r="K5" s="13">
        <f ca="1">IF(LEN(INDIRECT(ADDRESS(ROW()-1, COLUMN())))=1,"",INDIRECT(ADDRESS(20,6))-INDIRECT(ADDRESS(20,7)))</f>
        <v>7</v>
      </c>
      <c r="L5" s="61"/>
      <c r="M5" s="12">
        <f ca="1">IF(COUNT(F5:K5)=0,"",SUM(F5:K5))</f>
        <v>-7</v>
      </c>
      <c r="N5" s="66"/>
    </row>
    <row r="6" spans="2:14" customFormat="1" ht="21" x14ac:dyDescent="0.25">
      <c r="B6" s="53">
        <v>2</v>
      </c>
      <c r="C6" s="67" t="s">
        <v>59</v>
      </c>
      <c r="D6" s="68"/>
      <c r="E6" s="69"/>
      <c r="F6" s="14" t="str">
        <f ca="1">INDIRECT(ADDRESS(27,7))&amp;":"&amp;INDIRECT(ADDRESS(27,6))</f>
        <v>12:4</v>
      </c>
      <c r="G6" s="15" t="s">
        <v>4</v>
      </c>
      <c r="H6" s="16" t="str">
        <f ca="1">INDIRECT(ADDRESS(37,6))&amp;":"&amp;INDIRECT(ADDRESS(37,7))</f>
        <v>8:4</v>
      </c>
      <c r="I6" s="16" t="str">
        <f ca="1">INDIRECT(ADDRESS(41,7))&amp;":"&amp;INDIRECT(ADDRESS(41,6))</f>
        <v>7:13</v>
      </c>
      <c r="J6" s="16" t="str">
        <f ca="1">INDIRECT(ADDRESS(21,6))&amp;":"&amp;INDIRECT(ADDRESS(21,7))</f>
        <v>13:0</v>
      </c>
      <c r="K6" s="17" t="str">
        <f ca="1">INDIRECT(ADDRESS(30,6))&amp;":"&amp;INDIRECT(ADDRESS(30,7))</f>
        <v>12:4</v>
      </c>
      <c r="L6" s="61">
        <f ca="1">IF(COUNT(F7:K7)=0,"",COUNTIF(F7:K7,"&gt;0")+0.5*COUNTIF(F7:K7,0))</f>
        <v>4</v>
      </c>
      <c r="M6" s="12">
        <v>-2</v>
      </c>
      <c r="N6" s="63">
        <v>3</v>
      </c>
    </row>
    <row r="7" spans="2:14" customFormat="1" ht="21" x14ac:dyDescent="0.25">
      <c r="B7" s="65"/>
      <c r="C7" s="67"/>
      <c r="D7" s="68"/>
      <c r="E7" s="69"/>
      <c r="F7" s="18">
        <f ca="1">IF(LEN(INDIRECT(ADDRESS(ROW()-1, COLUMN())))=1,"",INDIRECT(ADDRESS(27,7))-INDIRECT(ADDRESS(27,6)))</f>
        <v>8</v>
      </c>
      <c r="G7" s="19" t="s">
        <v>4</v>
      </c>
      <c r="H7" s="12">
        <f ca="1">IF(LEN(INDIRECT(ADDRESS(ROW()-1, COLUMN())))=1,"",INDIRECT(ADDRESS(37,6))-INDIRECT(ADDRESS(37,7)))</f>
        <v>4</v>
      </c>
      <c r="I7" s="12">
        <f ca="1">IF(LEN(INDIRECT(ADDRESS(ROW()-1, COLUMN())))=1,"",INDIRECT(ADDRESS(41,7))-INDIRECT(ADDRESS(41,6)))</f>
        <v>-6</v>
      </c>
      <c r="J7" s="12">
        <f ca="1">IF(LEN(INDIRECT(ADDRESS(ROW()-1, COLUMN())))=1,"",INDIRECT(ADDRESS(21,6))-INDIRECT(ADDRESS(21,7)))</f>
        <v>13</v>
      </c>
      <c r="K7" s="13">
        <f ca="1">IF(LEN(INDIRECT(ADDRESS(ROW()-1, COLUMN())))=1,"",INDIRECT(ADDRESS(30,6))-INDIRECT(ADDRESS(30,7)))</f>
        <v>8</v>
      </c>
      <c r="L7" s="61"/>
      <c r="M7" s="12">
        <f ca="1">IF(COUNT(F7:K7)=0,"",SUM(F7:K7))</f>
        <v>27</v>
      </c>
      <c r="N7" s="66"/>
    </row>
    <row r="8" spans="2:14" customFormat="1" ht="21" x14ac:dyDescent="0.25">
      <c r="B8" s="53">
        <v>3</v>
      </c>
      <c r="C8" s="67" t="s">
        <v>60</v>
      </c>
      <c r="D8" s="68"/>
      <c r="E8" s="69"/>
      <c r="F8" s="14" t="str">
        <f ca="1">INDIRECT(ADDRESS(31,6))&amp;":"&amp;INDIRECT(ADDRESS(31,7))</f>
        <v>11:7</v>
      </c>
      <c r="G8" s="16" t="str">
        <f ca="1">INDIRECT(ADDRESS(37,7))&amp;":"&amp;INDIRECT(ADDRESS(37,6))</f>
        <v>4:8</v>
      </c>
      <c r="H8" s="15" t="s">
        <v>4</v>
      </c>
      <c r="I8" s="16" t="str">
        <f ca="1">INDIRECT(ADDRESS(22,6))&amp;":"&amp;INDIRECT(ADDRESS(22,7))</f>
        <v>13:5</v>
      </c>
      <c r="J8" s="16" t="str">
        <f ca="1">INDIRECT(ADDRESS(26,7))&amp;":"&amp;INDIRECT(ADDRESS(26,6))</f>
        <v>13:0</v>
      </c>
      <c r="K8" s="17" t="str">
        <f ca="1">INDIRECT(ADDRESS(40,6))&amp;":"&amp;INDIRECT(ADDRESS(40,7))</f>
        <v>12:3</v>
      </c>
      <c r="L8" s="61">
        <f ca="1">IF(COUNT(F9:K9)=0,"",COUNTIF(F9:K9,"&gt;0")+0.5*COUNTIF(F9:K9,0))</f>
        <v>4</v>
      </c>
      <c r="M8" s="12">
        <v>4</v>
      </c>
      <c r="N8" s="63">
        <v>1</v>
      </c>
    </row>
    <row r="9" spans="2:14" customFormat="1" ht="21" x14ac:dyDescent="0.25">
      <c r="B9" s="65"/>
      <c r="C9" s="67"/>
      <c r="D9" s="68"/>
      <c r="E9" s="69"/>
      <c r="F9" s="18">
        <f ca="1">IF(LEN(INDIRECT(ADDRESS(ROW()-1, COLUMN())))=1,"",INDIRECT(ADDRESS(31,6))-INDIRECT(ADDRESS(31,7)))</f>
        <v>4</v>
      </c>
      <c r="G9" s="12">
        <f ca="1">IF(LEN(INDIRECT(ADDRESS(ROW()-1, COLUMN())))=1,"",INDIRECT(ADDRESS(37,7))-INDIRECT(ADDRESS(37,6)))</f>
        <v>-4</v>
      </c>
      <c r="H9" s="19" t="s">
        <v>4</v>
      </c>
      <c r="I9" s="12">
        <f ca="1">IF(LEN(INDIRECT(ADDRESS(ROW()-1, COLUMN())))=1,"",INDIRECT(ADDRESS(22,6))-INDIRECT(ADDRESS(22,7)))</f>
        <v>8</v>
      </c>
      <c r="J9" s="12">
        <f ca="1">IF(LEN(INDIRECT(ADDRESS(ROW()-1, COLUMN())))=1,"",INDIRECT(ADDRESS(26,7))-INDIRECT(ADDRESS(26,6)))</f>
        <v>13</v>
      </c>
      <c r="K9" s="13">
        <f ca="1">IF(LEN(INDIRECT(ADDRESS(ROW()-1, COLUMN())))=1,"",INDIRECT(ADDRESS(40,6))-INDIRECT(ADDRESS(40,7)))</f>
        <v>9</v>
      </c>
      <c r="L9" s="61"/>
      <c r="M9" s="12">
        <f ca="1">IF(COUNT(F9:K9)=0,"",SUM(F9:K9))</f>
        <v>30</v>
      </c>
      <c r="N9" s="66"/>
    </row>
    <row r="10" spans="2:14" customFormat="1" ht="21" x14ac:dyDescent="0.25">
      <c r="B10" s="53">
        <v>4</v>
      </c>
      <c r="C10" s="67" t="s">
        <v>61</v>
      </c>
      <c r="D10" s="68"/>
      <c r="E10" s="69"/>
      <c r="F10" s="14" t="str">
        <f ca="1">INDIRECT(ADDRESS(36,7))&amp;":"&amp;INDIRECT(ADDRESS(36,6))</f>
        <v>13:3</v>
      </c>
      <c r="G10" s="16" t="str">
        <f ca="1">INDIRECT(ADDRESS(41,6))&amp;":"&amp;INDIRECT(ADDRESS(41,7))</f>
        <v>13:7</v>
      </c>
      <c r="H10" s="16" t="str">
        <f ca="1">INDIRECT(ADDRESS(22,7))&amp;":"&amp;INDIRECT(ADDRESS(22,6))</f>
        <v>5:13</v>
      </c>
      <c r="I10" s="15" t="s">
        <v>4</v>
      </c>
      <c r="J10" s="16" t="str">
        <f ca="1">INDIRECT(ADDRESS(32,6))&amp;":"&amp;INDIRECT(ADDRESS(32,7))</f>
        <v>13:2</v>
      </c>
      <c r="K10" s="17" t="str">
        <f ca="1">INDIRECT(ADDRESS(25,7))&amp;":"&amp;INDIRECT(ADDRESS(25,6))</f>
        <v>13:4</v>
      </c>
      <c r="L10" s="61">
        <f ca="1">IF(COUNT(F11:K11)=0,"",COUNTIF(F11:K11,"&gt;0")+0.5*COUNTIF(F11:K11,0))</f>
        <v>4</v>
      </c>
      <c r="M10" s="12">
        <v>-2</v>
      </c>
      <c r="N10" s="63">
        <v>2</v>
      </c>
    </row>
    <row r="11" spans="2:14" customFormat="1" ht="21" x14ac:dyDescent="0.25">
      <c r="B11" s="65"/>
      <c r="C11" s="67"/>
      <c r="D11" s="68"/>
      <c r="E11" s="69"/>
      <c r="F11" s="18">
        <f ca="1">IF(LEN(INDIRECT(ADDRESS(ROW()-1, COLUMN())))=1,"",INDIRECT(ADDRESS(36,7))-INDIRECT(ADDRESS(36,6)))</f>
        <v>10</v>
      </c>
      <c r="G11" s="12">
        <f ca="1">IF(LEN(INDIRECT(ADDRESS(ROW()-1, COLUMN())))=1,"",INDIRECT(ADDRESS(41,6))-INDIRECT(ADDRESS(41,7)))</f>
        <v>6</v>
      </c>
      <c r="H11" s="12">
        <f ca="1">IF(LEN(INDIRECT(ADDRESS(ROW()-1, COLUMN())))=1,"",INDIRECT(ADDRESS(22,7))-INDIRECT(ADDRESS(22,6)))</f>
        <v>-8</v>
      </c>
      <c r="I11" s="19" t="s">
        <v>4</v>
      </c>
      <c r="J11" s="12">
        <f ca="1">IF(LEN(INDIRECT(ADDRESS(ROW()-1, COLUMN())))=1,"",INDIRECT(ADDRESS(32,6))-INDIRECT(ADDRESS(32,7)))</f>
        <v>11</v>
      </c>
      <c r="K11" s="13">
        <f ca="1">IF(LEN(INDIRECT(ADDRESS(ROW()-1, COLUMN())))=1,"",INDIRECT(ADDRESS(25,7))-INDIRECT(ADDRESS(25,6)))</f>
        <v>9</v>
      </c>
      <c r="L11" s="61"/>
      <c r="M11" s="12">
        <f ca="1">IF(COUNT(F11:K11)=0,"",SUM(F11:K11))</f>
        <v>28</v>
      </c>
      <c r="N11" s="66"/>
    </row>
    <row r="12" spans="2:14" customFormat="1" ht="21" x14ac:dyDescent="0.25">
      <c r="B12" s="53">
        <v>5</v>
      </c>
      <c r="C12" s="55" t="s">
        <v>62</v>
      </c>
      <c r="D12" s="56"/>
      <c r="E12" s="57"/>
      <c r="F12" s="14" t="str">
        <f ca="1">INDIRECT(ADDRESS(42,6))&amp;":"&amp;INDIRECT(ADDRESS(42,7))</f>
        <v>5:13</v>
      </c>
      <c r="G12" s="16" t="str">
        <f ca="1">INDIRECT(ADDRESS(21,7))&amp;":"&amp;INDIRECT(ADDRESS(21,6))</f>
        <v>0:13</v>
      </c>
      <c r="H12" s="16" t="str">
        <f ca="1">INDIRECT(ADDRESS(26,6))&amp;":"&amp;INDIRECT(ADDRESS(26,7))</f>
        <v>0:13</v>
      </c>
      <c r="I12" s="16" t="str">
        <f ca="1">INDIRECT(ADDRESS(32,7))&amp;":"&amp;INDIRECT(ADDRESS(32,6))</f>
        <v>2:13</v>
      </c>
      <c r="J12" s="15" t="s">
        <v>4</v>
      </c>
      <c r="K12" s="17" t="str">
        <f ca="1">INDIRECT(ADDRESS(35,7))&amp;":"&amp;INDIRECT(ADDRESS(35,6))</f>
        <v>10:13</v>
      </c>
      <c r="L12" s="61">
        <f ca="1">IF(COUNT(F13:K13)=0,"",COUNTIF(F13:K13,"&gt;0")+0.5*COUNTIF(F13:K13,0))</f>
        <v>0</v>
      </c>
      <c r="M12" s="12"/>
      <c r="N12" s="63">
        <v>6</v>
      </c>
    </row>
    <row r="13" spans="2:14" customFormat="1" ht="21" x14ac:dyDescent="0.25">
      <c r="B13" s="65"/>
      <c r="C13" s="55"/>
      <c r="D13" s="56"/>
      <c r="E13" s="57"/>
      <c r="F13" s="18">
        <f ca="1">IF(LEN(INDIRECT(ADDRESS(ROW()-1, COLUMN())))=1,"",INDIRECT(ADDRESS(42,6))-INDIRECT(ADDRESS(42,7)))</f>
        <v>-8</v>
      </c>
      <c r="G13" s="12">
        <f ca="1">IF(LEN(INDIRECT(ADDRESS(ROW()-1, COLUMN())))=1,"",INDIRECT(ADDRESS(21,7))-INDIRECT(ADDRESS(21,6)))</f>
        <v>-13</v>
      </c>
      <c r="H13" s="12">
        <f ca="1">IF(LEN(INDIRECT(ADDRESS(ROW()-1, COLUMN())))=1,"",INDIRECT(ADDRESS(26,6))-INDIRECT(ADDRESS(26,7)))</f>
        <v>-13</v>
      </c>
      <c r="I13" s="12">
        <f ca="1">IF(LEN(INDIRECT(ADDRESS(ROW()-1, COLUMN())))=1,"",INDIRECT(ADDRESS(32,7))-INDIRECT(ADDRESS(32,6)))</f>
        <v>-11</v>
      </c>
      <c r="J13" s="19" t="s">
        <v>4</v>
      </c>
      <c r="K13" s="13">
        <f ca="1">IF(LEN(INDIRECT(ADDRESS(ROW()-1, COLUMN())))=1,"",INDIRECT(ADDRESS(35,7))-INDIRECT(ADDRESS(35,6)))</f>
        <v>-3</v>
      </c>
      <c r="L13" s="61"/>
      <c r="M13" s="12">
        <f ca="1">IF(COUNT(F13:K13)=0,"",SUM(F13:K13))</f>
        <v>-48</v>
      </c>
      <c r="N13" s="66"/>
    </row>
    <row r="14" spans="2:14" customFormat="1" ht="21" x14ac:dyDescent="0.25">
      <c r="B14" s="53">
        <v>6</v>
      </c>
      <c r="C14" s="55" t="s">
        <v>63</v>
      </c>
      <c r="D14" s="56"/>
      <c r="E14" s="57"/>
      <c r="F14" s="14" t="str">
        <f ca="1">INDIRECT(ADDRESS(20,7))&amp;":"&amp;INDIRECT(ADDRESS(20,6))</f>
        <v>6:13</v>
      </c>
      <c r="G14" s="16" t="str">
        <f ca="1">INDIRECT(ADDRESS(30,7))&amp;":"&amp;INDIRECT(ADDRESS(30,6))</f>
        <v>4:12</v>
      </c>
      <c r="H14" s="16" t="str">
        <f ca="1">INDIRECT(ADDRESS(40,7))&amp;":"&amp;INDIRECT(ADDRESS(40,6))</f>
        <v>3:12</v>
      </c>
      <c r="I14" s="16" t="str">
        <f ca="1">INDIRECT(ADDRESS(25,6))&amp;":"&amp;INDIRECT(ADDRESS(25,7))</f>
        <v>4:13</v>
      </c>
      <c r="J14" s="16" t="str">
        <f ca="1">INDIRECT(ADDRESS(35,6))&amp;":"&amp;INDIRECT(ADDRESS(35,7))</f>
        <v>13:10</v>
      </c>
      <c r="K14" s="20" t="s">
        <v>4</v>
      </c>
      <c r="L14" s="61">
        <f ca="1">IF(COUNT(F15:K15)=0,"",COUNTIF(F15:K15,"&gt;0")+0.5*COUNTIF(F15:K15,0))</f>
        <v>1</v>
      </c>
      <c r="M14" s="12"/>
      <c r="N14" s="63">
        <v>5</v>
      </c>
    </row>
    <row r="15" spans="2:14" customFormat="1" ht="21.75" thickBot="1" x14ac:dyDescent="0.3">
      <c r="B15" s="54"/>
      <c r="C15" s="58"/>
      <c r="D15" s="59"/>
      <c r="E15" s="60"/>
      <c r="F15" s="21">
        <f ca="1">IF(LEN(INDIRECT(ADDRESS(ROW()-1, COLUMN())))=1,"",INDIRECT(ADDRESS(20,7))-INDIRECT(ADDRESS(20,6)))</f>
        <v>-7</v>
      </c>
      <c r="G15" s="22">
        <f ca="1">IF(LEN(INDIRECT(ADDRESS(ROW()-1, COLUMN())))=1,"",INDIRECT(ADDRESS(30,7))-INDIRECT(ADDRESS(30,6)))</f>
        <v>-8</v>
      </c>
      <c r="H15" s="22">
        <f ca="1">IF(LEN(INDIRECT(ADDRESS(ROW()-1, COLUMN())))=1,"",INDIRECT(ADDRESS(40,7))-INDIRECT(ADDRESS(40,6)))</f>
        <v>-9</v>
      </c>
      <c r="I15" s="22">
        <f ca="1">IF(LEN(INDIRECT(ADDRESS(ROW()-1, COLUMN())))=1,"",INDIRECT(ADDRESS(25,6))-INDIRECT(ADDRESS(25,7)))</f>
        <v>-9</v>
      </c>
      <c r="J15" s="22">
        <f ca="1">IF(LEN(INDIRECT(ADDRESS(ROW()-1, COLUMN())))=1,"",INDIRECT(ADDRESS(35,6))-INDIRECT(ADDRESS(35,7)))</f>
        <v>3</v>
      </c>
      <c r="K15" s="23" t="s">
        <v>4</v>
      </c>
      <c r="L15" s="62"/>
      <c r="M15" s="22">
        <f ca="1">IF(COUNT(F15:K15)=0,"",SUM(F15:K15))</f>
        <v>-30</v>
      </c>
      <c r="N15" s="64"/>
    </row>
    <row r="16" spans="2:14" customFormat="1" x14ac:dyDescent="0.25"/>
    <row r="17" spans="1:13" x14ac:dyDescent="0.25">
      <c r="M17"/>
    </row>
    <row r="18" spans="1:13" x14ac:dyDescent="0.25">
      <c r="M18"/>
    </row>
    <row r="19" spans="1:13" s="25" customFormat="1" ht="21.75" thickBot="1" x14ac:dyDescent="0.4">
      <c r="A19" s="24"/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3" s="25" customFormat="1" ht="21.75" thickBot="1" x14ac:dyDescent="0.4">
      <c r="A20" s="24"/>
      <c r="B20" s="26">
        <v>1</v>
      </c>
      <c r="C20" s="49" t="str">
        <f ca="1">IF(ISBLANK(INDIRECT(ADDRESS(B20*2+2,3))),"",INDIRECT(ADDRESS(B20*2+2,3)))</f>
        <v>Савченко, Денисов</v>
      </c>
      <c r="D20" s="49"/>
      <c r="E20" s="50"/>
      <c r="F20" s="27">
        <v>13</v>
      </c>
      <c r="G20" s="28">
        <v>6</v>
      </c>
      <c r="H20" s="51" t="str">
        <f ca="1">IF(ISBLANK(INDIRECT(ADDRESS(K20*2+2,3))),"",INDIRECT(ADDRESS(K20*2+2,3)))</f>
        <v>Волкова, Папоян</v>
      </c>
      <c r="I20" s="49"/>
      <c r="J20" s="49"/>
      <c r="K20" s="26">
        <v>6</v>
      </c>
      <c r="L20" s="29" t="s">
        <v>6</v>
      </c>
      <c r="M20" s="45">
        <v>7</v>
      </c>
    </row>
    <row r="21" spans="1:13" s="25" customFormat="1" ht="21.75" thickBot="1" x14ac:dyDescent="0.4">
      <c r="A21" s="24"/>
      <c r="B21" s="26">
        <v>2</v>
      </c>
      <c r="C21" s="49" t="str">
        <f ca="1">IF(ISBLANK(INDIRECT(ADDRESS(B21*2+2,3))),"",INDIRECT(ADDRESS(B21*2+2,3)))</f>
        <v>Крошиловы</v>
      </c>
      <c r="D21" s="49"/>
      <c r="E21" s="50"/>
      <c r="F21" s="27">
        <v>13</v>
      </c>
      <c r="G21" s="28">
        <v>0</v>
      </c>
      <c r="H21" s="51" t="str">
        <f ca="1">IF(ISBLANK(INDIRECT(ADDRESS(K21*2+2,3))),"",INDIRECT(ADDRESS(K21*2+2,3)))</f>
        <v>Алова, Шишов</v>
      </c>
      <c r="I21" s="49"/>
      <c r="J21" s="49"/>
      <c r="K21" s="26">
        <v>5</v>
      </c>
      <c r="L21" s="29" t="s">
        <v>6</v>
      </c>
      <c r="M21" s="45">
        <v>8</v>
      </c>
    </row>
    <row r="22" spans="1:13" s="25" customFormat="1" ht="21.75" thickBot="1" x14ac:dyDescent="0.4">
      <c r="A22" s="24"/>
      <c r="B22" s="26">
        <v>3</v>
      </c>
      <c r="C22" s="49" t="str">
        <f ca="1">IF(ISBLANK(INDIRECT(ADDRESS(B22*2+2,3))),"",INDIRECT(ADDRESS(B22*2+2,3)))</f>
        <v>Поляковы</v>
      </c>
      <c r="D22" s="49"/>
      <c r="E22" s="50"/>
      <c r="F22" s="27">
        <v>13</v>
      </c>
      <c r="G22" s="28">
        <v>5</v>
      </c>
      <c r="H22" s="51" t="str">
        <f ca="1">IF(ISBLANK(INDIRECT(ADDRESS(K22*2+2,3))),"",INDIRECT(ADDRESS(K22*2+2,3)))</f>
        <v>Крылова, Поляков</v>
      </c>
      <c r="I22" s="49"/>
      <c r="J22" s="49"/>
      <c r="K22" s="26">
        <v>4</v>
      </c>
      <c r="L22" s="29" t="s">
        <v>6</v>
      </c>
      <c r="M22" s="45" t="s">
        <v>45</v>
      </c>
    </row>
    <row r="23" spans="1:13" s="25" customFormat="1" ht="21" x14ac:dyDescent="0.35">
      <c r="A23" s="24"/>
      <c r="M23" s="31"/>
    </row>
    <row r="24" spans="1:13" s="25" customFormat="1" ht="21.75" thickBot="1" x14ac:dyDescent="0.4">
      <c r="A24" s="24"/>
      <c r="B24" s="52" t="s">
        <v>7</v>
      </c>
      <c r="C24" s="52"/>
      <c r="D24" s="52"/>
      <c r="E24" s="52"/>
      <c r="F24" s="52"/>
      <c r="G24" s="52"/>
      <c r="H24" s="52"/>
      <c r="I24" s="52"/>
      <c r="J24" s="52"/>
      <c r="K24" s="52"/>
      <c r="M24" s="31"/>
    </row>
    <row r="25" spans="1:13" s="25" customFormat="1" ht="21.75" thickBot="1" x14ac:dyDescent="0.4">
      <c r="A25" s="24"/>
      <c r="B25" s="26">
        <v>6</v>
      </c>
      <c r="C25" s="49" t="str">
        <f ca="1">IF(ISBLANK(INDIRECT(ADDRESS(B25*2+2,3))),"",INDIRECT(ADDRESS(B25*2+2,3)))</f>
        <v>Волкова, Папоян</v>
      </c>
      <c r="D25" s="49"/>
      <c r="E25" s="50"/>
      <c r="F25" s="27">
        <v>4</v>
      </c>
      <c r="G25" s="28">
        <v>13</v>
      </c>
      <c r="H25" s="51" t="str">
        <f ca="1">IF(ISBLANK(INDIRECT(ADDRESS(K25*2+2,3))),"",INDIRECT(ADDRESS(K25*2+2,3)))</f>
        <v>Крылова, Поляков</v>
      </c>
      <c r="I25" s="49"/>
      <c r="J25" s="49"/>
      <c r="K25" s="26">
        <v>4</v>
      </c>
      <c r="L25" s="29" t="s">
        <v>6</v>
      </c>
      <c r="M25" s="45">
        <v>1</v>
      </c>
    </row>
    <row r="26" spans="1:13" s="25" customFormat="1" ht="21.75" thickBot="1" x14ac:dyDescent="0.4">
      <c r="A26" s="24"/>
      <c r="B26" s="26">
        <v>5</v>
      </c>
      <c r="C26" s="49" t="str">
        <f ca="1">IF(ISBLANK(INDIRECT(ADDRESS(B26*2+2,3))),"",INDIRECT(ADDRESS(B26*2+2,3)))</f>
        <v>Алова, Шишов</v>
      </c>
      <c r="D26" s="49"/>
      <c r="E26" s="50"/>
      <c r="F26" s="27">
        <v>0</v>
      </c>
      <c r="G26" s="28">
        <v>13</v>
      </c>
      <c r="H26" s="51" t="str">
        <f ca="1">IF(ISBLANK(INDIRECT(ADDRESS(K26*2+2,3))),"",INDIRECT(ADDRESS(K26*2+2,3)))</f>
        <v>Поляковы</v>
      </c>
      <c r="I26" s="49"/>
      <c r="J26" s="49"/>
      <c r="K26" s="26">
        <v>3</v>
      </c>
      <c r="L26" s="29" t="s">
        <v>6</v>
      </c>
      <c r="M26" s="45">
        <v>2</v>
      </c>
    </row>
    <row r="27" spans="1:13" s="25" customFormat="1" ht="21.75" thickBot="1" x14ac:dyDescent="0.4">
      <c r="A27" s="24"/>
      <c r="B27" s="26">
        <v>1</v>
      </c>
      <c r="C27" s="49" t="str">
        <f ca="1">IF(ISBLANK(INDIRECT(ADDRESS(B27*2+2,3))),"",INDIRECT(ADDRESS(B27*2+2,3)))</f>
        <v>Савченко, Денисов</v>
      </c>
      <c r="D27" s="49"/>
      <c r="E27" s="50"/>
      <c r="F27" s="27">
        <v>4</v>
      </c>
      <c r="G27" s="28">
        <v>12</v>
      </c>
      <c r="H27" s="51" t="str">
        <f ca="1">IF(ISBLANK(INDIRECT(ADDRESS(K27*2+2,3))),"",INDIRECT(ADDRESS(K27*2+2,3)))</f>
        <v>Крошиловы</v>
      </c>
      <c r="I27" s="49"/>
      <c r="J27" s="49"/>
      <c r="K27" s="26">
        <v>2</v>
      </c>
      <c r="L27" s="29" t="s">
        <v>6</v>
      </c>
      <c r="M27" s="45">
        <v>3</v>
      </c>
    </row>
    <row r="28" spans="1:13" s="25" customFormat="1" ht="21" x14ac:dyDescent="0.35">
      <c r="A28" s="24"/>
      <c r="M28" s="31"/>
    </row>
    <row r="29" spans="1:13" s="25" customFormat="1" ht="21.75" thickBot="1" x14ac:dyDescent="0.4">
      <c r="A29" s="24"/>
      <c r="B29" s="52" t="s">
        <v>8</v>
      </c>
      <c r="C29" s="52"/>
      <c r="D29" s="52"/>
      <c r="E29" s="52"/>
      <c r="F29" s="52"/>
      <c r="G29" s="52"/>
      <c r="H29" s="52"/>
      <c r="I29" s="52"/>
      <c r="J29" s="52"/>
      <c r="K29" s="52"/>
      <c r="M29" s="31"/>
    </row>
    <row r="30" spans="1:13" s="25" customFormat="1" ht="21.75" thickBot="1" x14ac:dyDescent="0.4">
      <c r="A30" s="24"/>
      <c r="B30" s="26">
        <v>2</v>
      </c>
      <c r="C30" s="49" t="str">
        <f ca="1">IF(ISBLANK(INDIRECT(ADDRESS(B30*2+2,3))),"",INDIRECT(ADDRESS(B30*2+2,3)))</f>
        <v>Крошиловы</v>
      </c>
      <c r="D30" s="49"/>
      <c r="E30" s="50"/>
      <c r="F30" s="27">
        <v>12</v>
      </c>
      <c r="G30" s="28">
        <v>4</v>
      </c>
      <c r="H30" s="51" t="str">
        <f ca="1">IF(ISBLANK(INDIRECT(ADDRESS(K30*2+2,3))),"",INDIRECT(ADDRESS(K30*2+2,3)))</f>
        <v>Волкова, Папоян</v>
      </c>
      <c r="I30" s="49"/>
      <c r="J30" s="49"/>
      <c r="K30" s="26">
        <v>6</v>
      </c>
      <c r="L30" s="29" t="s">
        <v>6</v>
      </c>
      <c r="M30" s="45">
        <v>5</v>
      </c>
    </row>
    <row r="31" spans="1:13" s="25" customFormat="1" ht="21.75" thickBot="1" x14ac:dyDescent="0.4">
      <c r="A31" s="24"/>
      <c r="B31" s="26">
        <v>3</v>
      </c>
      <c r="C31" s="49" t="str">
        <f ca="1">IF(ISBLANK(INDIRECT(ADDRESS(B31*2+2,3))),"",INDIRECT(ADDRESS(B31*2+2,3)))</f>
        <v>Поляковы</v>
      </c>
      <c r="D31" s="49"/>
      <c r="E31" s="50"/>
      <c r="F31" s="27">
        <v>11</v>
      </c>
      <c r="G31" s="28">
        <v>7</v>
      </c>
      <c r="H31" s="51" t="str">
        <f ca="1">IF(ISBLANK(INDIRECT(ADDRESS(K31*2+2,3))),"",INDIRECT(ADDRESS(K31*2+2,3)))</f>
        <v>Савченко, Денисов</v>
      </c>
      <c r="I31" s="49"/>
      <c r="J31" s="49"/>
      <c r="K31" s="26">
        <v>1</v>
      </c>
      <c r="L31" s="29" t="s">
        <v>6</v>
      </c>
      <c r="M31" s="45">
        <v>6</v>
      </c>
    </row>
    <row r="32" spans="1:13" s="25" customFormat="1" ht="21.75" thickBot="1" x14ac:dyDescent="0.4">
      <c r="A32" s="24"/>
      <c r="B32" s="26">
        <v>4</v>
      </c>
      <c r="C32" s="49" t="str">
        <f ca="1">IF(ISBLANK(INDIRECT(ADDRESS(B32*2+2,3))),"",INDIRECT(ADDRESS(B32*2+2,3)))</f>
        <v>Крылова, Поляков</v>
      </c>
      <c r="D32" s="49"/>
      <c r="E32" s="50"/>
      <c r="F32" s="27">
        <v>13</v>
      </c>
      <c r="G32" s="28">
        <v>2</v>
      </c>
      <c r="H32" s="51" t="str">
        <f ca="1">IF(ISBLANK(INDIRECT(ADDRESS(K32*2+2,3))),"",INDIRECT(ADDRESS(K32*2+2,3)))</f>
        <v>Алова, Шишов</v>
      </c>
      <c r="I32" s="49"/>
      <c r="J32" s="49"/>
      <c r="K32" s="26">
        <v>5</v>
      </c>
      <c r="L32" s="29" t="s">
        <v>6</v>
      </c>
      <c r="M32" s="45">
        <v>4</v>
      </c>
    </row>
    <row r="33" spans="1:13" s="25" customFormat="1" ht="21" x14ac:dyDescent="0.35">
      <c r="A33" s="24"/>
      <c r="M33" s="31"/>
    </row>
    <row r="34" spans="1:13" s="25" customFormat="1" ht="21.75" thickBot="1" x14ac:dyDescent="0.4">
      <c r="A34" s="24"/>
      <c r="B34" s="52" t="s">
        <v>9</v>
      </c>
      <c r="C34" s="52"/>
      <c r="D34" s="52"/>
      <c r="E34" s="52"/>
      <c r="F34" s="52"/>
      <c r="G34" s="52"/>
      <c r="H34" s="52"/>
      <c r="I34" s="52"/>
      <c r="J34" s="52"/>
      <c r="K34" s="52"/>
      <c r="M34" s="31"/>
    </row>
    <row r="35" spans="1:13" s="25" customFormat="1" ht="21.75" thickBot="1" x14ac:dyDescent="0.4">
      <c r="A35" s="24"/>
      <c r="B35" s="26">
        <v>6</v>
      </c>
      <c r="C35" s="49" t="str">
        <f ca="1">IF(ISBLANK(INDIRECT(ADDRESS(B35*2+2,3))),"",INDIRECT(ADDRESS(B35*2+2,3)))</f>
        <v>Волкова, Папоян</v>
      </c>
      <c r="D35" s="49"/>
      <c r="E35" s="50"/>
      <c r="F35" s="27">
        <v>13</v>
      </c>
      <c r="G35" s="28">
        <v>10</v>
      </c>
      <c r="H35" s="51" t="str">
        <f ca="1">IF(ISBLANK(INDIRECT(ADDRESS(K35*2+2,3))),"",INDIRECT(ADDRESS(K35*2+2,3)))</f>
        <v>Алова, Шишов</v>
      </c>
      <c r="I35" s="49"/>
      <c r="J35" s="49"/>
      <c r="K35" s="26">
        <v>5</v>
      </c>
      <c r="L35" s="29" t="s">
        <v>6</v>
      </c>
      <c r="M35" s="45">
        <v>7</v>
      </c>
    </row>
    <row r="36" spans="1:13" s="25" customFormat="1" ht="21.75" thickBot="1" x14ac:dyDescent="0.4">
      <c r="A36" s="24"/>
      <c r="B36" s="26">
        <v>1</v>
      </c>
      <c r="C36" s="49" t="str">
        <f ca="1">IF(ISBLANK(INDIRECT(ADDRESS(B36*2+2,3))),"",INDIRECT(ADDRESS(B36*2+2,3)))</f>
        <v>Савченко, Денисов</v>
      </c>
      <c r="D36" s="49"/>
      <c r="E36" s="50"/>
      <c r="F36" s="27">
        <v>3</v>
      </c>
      <c r="G36" s="28">
        <v>13</v>
      </c>
      <c r="H36" s="51" t="str">
        <f ca="1">IF(ISBLANK(INDIRECT(ADDRESS(K36*2+2,3))),"",INDIRECT(ADDRESS(K36*2+2,3)))</f>
        <v>Крылова, Поляков</v>
      </c>
      <c r="I36" s="49"/>
      <c r="J36" s="49"/>
      <c r="K36" s="26">
        <v>4</v>
      </c>
      <c r="L36" s="29" t="s">
        <v>6</v>
      </c>
      <c r="M36" s="45">
        <v>8</v>
      </c>
    </row>
    <row r="37" spans="1:13" s="25" customFormat="1" ht="21.75" thickBot="1" x14ac:dyDescent="0.4">
      <c r="A37" s="24"/>
      <c r="B37" s="26">
        <v>2</v>
      </c>
      <c r="C37" s="49" t="str">
        <f ca="1">IF(ISBLANK(INDIRECT(ADDRESS(B37*2+2,3))),"",INDIRECT(ADDRESS(B37*2+2,3)))</f>
        <v>Крошиловы</v>
      </c>
      <c r="D37" s="49"/>
      <c r="E37" s="50"/>
      <c r="F37" s="27">
        <v>8</v>
      </c>
      <c r="G37" s="28">
        <v>4</v>
      </c>
      <c r="H37" s="51" t="str">
        <f ca="1">IF(ISBLANK(INDIRECT(ADDRESS(K37*2+2,3))),"",INDIRECT(ADDRESS(K37*2+2,3)))</f>
        <v>Поляковы</v>
      </c>
      <c r="I37" s="49"/>
      <c r="J37" s="49"/>
      <c r="K37" s="26">
        <v>3</v>
      </c>
      <c r="L37" s="29" t="s">
        <v>6</v>
      </c>
      <c r="M37" s="45" t="s">
        <v>45</v>
      </c>
    </row>
    <row r="38" spans="1:13" s="25" customFormat="1" ht="21" x14ac:dyDescent="0.35">
      <c r="A38" s="24"/>
      <c r="M38" s="31"/>
    </row>
    <row r="39" spans="1:13" s="25" customFormat="1" ht="21.75" thickBot="1" x14ac:dyDescent="0.4">
      <c r="A39" s="24"/>
      <c r="B39" s="52" t="s">
        <v>10</v>
      </c>
      <c r="C39" s="52"/>
      <c r="D39" s="52"/>
      <c r="E39" s="52"/>
      <c r="F39" s="52"/>
      <c r="G39" s="52"/>
      <c r="H39" s="52"/>
      <c r="I39" s="52"/>
      <c r="J39" s="52"/>
      <c r="K39" s="52"/>
      <c r="M39" s="31"/>
    </row>
    <row r="40" spans="1:13" s="25" customFormat="1" ht="21.75" thickBot="1" x14ac:dyDescent="0.4">
      <c r="A40" s="24"/>
      <c r="B40" s="26">
        <v>3</v>
      </c>
      <c r="C40" s="49" t="str">
        <f ca="1">IF(ISBLANK(INDIRECT(ADDRESS(B40*2+2,3))),"",INDIRECT(ADDRESS(B40*2+2,3)))</f>
        <v>Поляковы</v>
      </c>
      <c r="D40" s="49"/>
      <c r="E40" s="50"/>
      <c r="F40" s="27">
        <v>12</v>
      </c>
      <c r="G40" s="28">
        <v>3</v>
      </c>
      <c r="H40" s="51" t="str">
        <f ca="1">IF(ISBLANK(INDIRECT(ADDRESS(K40*2+2,3))),"",INDIRECT(ADDRESS(K40*2+2,3)))</f>
        <v>Волкова, Папоян</v>
      </c>
      <c r="I40" s="49"/>
      <c r="J40" s="49"/>
      <c r="K40" s="26">
        <v>6</v>
      </c>
      <c r="L40" s="29" t="s">
        <v>6</v>
      </c>
      <c r="M40" s="45">
        <v>1</v>
      </c>
    </row>
    <row r="41" spans="1:13" s="25" customFormat="1" ht="21.75" thickBot="1" x14ac:dyDescent="0.4">
      <c r="A41" s="24"/>
      <c r="B41" s="26">
        <v>4</v>
      </c>
      <c r="C41" s="49" t="str">
        <f ca="1">IF(ISBLANK(INDIRECT(ADDRESS(B41*2+2,3))),"",INDIRECT(ADDRESS(B41*2+2,3)))</f>
        <v>Крылова, Поляков</v>
      </c>
      <c r="D41" s="49"/>
      <c r="E41" s="50"/>
      <c r="F41" s="27">
        <v>13</v>
      </c>
      <c r="G41" s="28">
        <v>7</v>
      </c>
      <c r="H41" s="51" t="str">
        <f ca="1">IF(ISBLANK(INDIRECT(ADDRESS(K41*2+2,3))),"",INDIRECT(ADDRESS(K41*2+2,3)))</f>
        <v>Крошиловы</v>
      </c>
      <c r="I41" s="49"/>
      <c r="J41" s="49"/>
      <c r="K41" s="26">
        <v>2</v>
      </c>
      <c r="L41" s="29" t="s">
        <v>6</v>
      </c>
      <c r="M41" s="45">
        <v>2</v>
      </c>
    </row>
    <row r="42" spans="1:13" s="25" customFormat="1" ht="21.75" thickBot="1" x14ac:dyDescent="0.4">
      <c r="A42" s="24"/>
      <c r="B42" s="26">
        <v>5</v>
      </c>
      <c r="C42" s="49" t="str">
        <f ca="1">IF(ISBLANK(INDIRECT(ADDRESS(B42*2+2,3))),"",INDIRECT(ADDRESS(B42*2+2,3)))</f>
        <v>Алова, Шишов</v>
      </c>
      <c r="D42" s="49"/>
      <c r="E42" s="50"/>
      <c r="F42" s="27">
        <v>5</v>
      </c>
      <c r="G42" s="28">
        <v>13</v>
      </c>
      <c r="H42" s="51" t="str">
        <f ca="1">IF(ISBLANK(INDIRECT(ADDRESS(K42*2+2,3))),"",INDIRECT(ADDRESS(K42*2+2,3)))</f>
        <v>Савченко, Денисов</v>
      </c>
      <c r="I42" s="49"/>
      <c r="J42" s="49"/>
      <c r="K42" s="26">
        <v>1</v>
      </c>
      <c r="L42" s="29" t="s">
        <v>6</v>
      </c>
      <c r="M42" s="45">
        <v>3</v>
      </c>
    </row>
  </sheetData>
  <mergeCells count="61">
    <mergeCell ref="B1:K1"/>
    <mergeCell ref="C3:E3"/>
    <mergeCell ref="B4:B5"/>
    <mergeCell ref="C4:E5"/>
    <mergeCell ref="L4:L5"/>
    <mergeCell ref="B19:K19"/>
    <mergeCell ref="B6:B7"/>
    <mergeCell ref="C6:E7"/>
    <mergeCell ref="B8:B9"/>
    <mergeCell ref="C8:E9"/>
    <mergeCell ref="C31:E31"/>
    <mergeCell ref="H31:J31"/>
    <mergeCell ref="C22:E22"/>
    <mergeCell ref="H22:J22"/>
    <mergeCell ref="C26:E26"/>
    <mergeCell ref="H26:J26"/>
    <mergeCell ref="C27:E27"/>
    <mergeCell ref="H27:J27"/>
    <mergeCell ref="B29:K29"/>
    <mergeCell ref="C30:E30"/>
    <mergeCell ref="H30:J30"/>
    <mergeCell ref="C25:E25"/>
    <mergeCell ref="H25:J25"/>
    <mergeCell ref="N4:N5"/>
    <mergeCell ref="L6:L7"/>
    <mergeCell ref="N6:N7"/>
    <mergeCell ref="L8:L9"/>
    <mergeCell ref="N8:N9"/>
    <mergeCell ref="N10:N11"/>
    <mergeCell ref="L12:L13"/>
    <mergeCell ref="N12:N13"/>
    <mergeCell ref="B14:B15"/>
    <mergeCell ref="C14:E15"/>
    <mergeCell ref="L14:L15"/>
    <mergeCell ref="N14:N15"/>
    <mergeCell ref="B10:B11"/>
    <mergeCell ref="C10:E11"/>
    <mergeCell ref="B12:B13"/>
    <mergeCell ref="C12:E13"/>
    <mergeCell ref="L10:L11"/>
    <mergeCell ref="C20:E20"/>
    <mergeCell ref="H20:J20"/>
    <mergeCell ref="C21:E21"/>
    <mergeCell ref="H21:J21"/>
    <mergeCell ref="B24:K24"/>
    <mergeCell ref="C32:E32"/>
    <mergeCell ref="H32:J32"/>
    <mergeCell ref="B34:K34"/>
    <mergeCell ref="C36:E36"/>
    <mergeCell ref="H36:J36"/>
    <mergeCell ref="C35:E35"/>
    <mergeCell ref="H35:J35"/>
    <mergeCell ref="C41:E41"/>
    <mergeCell ref="H41:J41"/>
    <mergeCell ref="C42:E42"/>
    <mergeCell ref="H42:J42"/>
    <mergeCell ref="C37:E37"/>
    <mergeCell ref="H37:J37"/>
    <mergeCell ref="B39:K39"/>
    <mergeCell ref="C40:E40"/>
    <mergeCell ref="H40:J40"/>
  </mergeCells>
  <pageMargins left="0.25" right="0.25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N10" sqref="N10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1:13" ht="31.5" x14ac:dyDescent="0.25">
      <c r="B1" s="71" t="s">
        <v>16</v>
      </c>
      <c r="C1" s="71"/>
      <c r="D1" s="71"/>
      <c r="E1" s="71"/>
      <c r="F1" s="71"/>
      <c r="G1" s="71"/>
      <c r="H1" s="71"/>
      <c r="I1" s="71"/>
      <c r="J1" s="71"/>
      <c r="K1" s="71"/>
    </row>
    <row r="2" spans="1:13" ht="15.75" thickBot="1" x14ac:dyDescent="0.3"/>
    <row r="3" spans="1:13" ht="15.75" thickBot="1" x14ac:dyDescent="0.3">
      <c r="B3" s="2"/>
      <c r="C3" s="72" t="s">
        <v>0</v>
      </c>
      <c r="D3" s="73"/>
      <c r="E3" s="74"/>
      <c r="F3" s="3">
        <v>1</v>
      </c>
      <c r="G3" s="3">
        <v>2</v>
      </c>
      <c r="H3" s="4">
        <v>3</v>
      </c>
      <c r="I3" s="4">
        <v>4</v>
      </c>
      <c r="J3" s="2" t="s">
        <v>1</v>
      </c>
      <c r="K3" s="3" t="s">
        <v>2</v>
      </c>
      <c r="L3" s="33" t="s">
        <v>3</v>
      </c>
    </row>
    <row r="4" spans="1:13" ht="21" x14ac:dyDescent="0.25">
      <c r="B4" s="75">
        <v>1</v>
      </c>
      <c r="C4" s="86" t="s">
        <v>38</v>
      </c>
      <c r="D4" s="87"/>
      <c r="E4" s="88"/>
      <c r="F4" s="7" t="s">
        <v>4</v>
      </c>
      <c r="G4" s="8" t="str">
        <f ca="1">INDIRECT(ADDRESS(21,6))&amp;":"&amp;INDIRECT(ADDRESS(21,7))</f>
        <v>13:0</v>
      </c>
      <c r="H4" s="8" t="str">
        <f ca="1">INDIRECT(ADDRESS(25,7))&amp;":"&amp;INDIRECT(ADDRESS(25,6))</f>
        <v>11:10</v>
      </c>
      <c r="I4" s="9" t="str">
        <f ca="1">INDIRECT(ADDRESS(16,6))&amp;":"&amp;INDIRECT(ADDRESS(16,7))</f>
        <v>4:13</v>
      </c>
      <c r="J4" s="85">
        <f ca="1">IF(COUNT(F5:I5)=0,"",COUNTIF(F5:I5,"&gt;0")+0.5*COUNTIF(F5:I5,0))</f>
        <v>2</v>
      </c>
      <c r="K4" s="10">
        <v>-8</v>
      </c>
      <c r="L4" s="84">
        <v>3</v>
      </c>
    </row>
    <row r="5" spans="1:13" ht="21" x14ac:dyDescent="0.25">
      <c r="B5" s="65"/>
      <c r="C5" s="55"/>
      <c r="D5" s="56"/>
      <c r="E5" s="57"/>
      <c r="F5" s="11" t="s">
        <v>4</v>
      </c>
      <c r="G5" s="12">
        <f ca="1">IF(LEN(INDIRECT(ADDRESS(ROW()-1, COLUMN())))=1,"",INDIRECT(ADDRESS(21,6))-INDIRECT(ADDRESS(21,7)))</f>
        <v>13</v>
      </c>
      <c r="H5" s="12">
        <f ca="1">IF(LEN(INDIRECT(ADDRESS(ROW()-1, COLUMN())))=1,"",INDIRECT(ADDRESS(25,7))-INDIRECT(ADDRESS(25,6)))</f>
        <v>1</v>
      </c>
      <c r="I5" s="13">
        <f ca="1">IF(LEN(INDIRECT(ADDRESS(ROW()-1, COLUMN())))=1,"",INDIRECT(ADDRESS(16,6))-INDIRECT(ADDRESS(16,7)))</f>
        <v>-9</v>
      </c>
      <c r="J5" s="81"/>
      <c r="K5" s="12">
        <f ca="1">IF(COUNT(F5:I5)=0,"",SUM(F5:I5))</f>
        <v>5</v>
      </c>
      <c r="L5" s="80"/>
    </row>
    <row r="6" spans="1:13" ht="21" x14ac:dyDescent="0.25">
      <c r="B6" s="53">
        <v>2</v>
      </c>
      <c r="C6" s="55" t="s">
        <v>61</v>
      </c>
      <c r="D6" s="56"/>
      <c r="E6" s="57"/>
      <c r="F6" s="14" t="str">
        <f ca="1">INDIRECT(ADDRESS(21,7))&amp;":"&amp;INDIRECT(ADDRESS(21,6))</f>
        <v>0:13</v>
      </c>
      <c r="G6" s="15" t="s">
        <v>4</v>
      </c>
      <c r="H6" s="16" t="str">
        <f ca="1">INDIRECT(ADDRESS(17,6))&amp;":"&amp;INDIRECT(ADDRESS(17,7))</f>
        <v>10:13</v>
      </c>
      <c r="I6" s="17" t="str">
        <f ca="1">INDIRECT(ADDRESS(24,6))&amp;":"&amp;INDIRECT(ADDRESS(24,7))</f>
        <v>11:13</v>
      </c>
      <c r="J6" s="81">
        <f ca="1">IF(COUNT(F7:I7)=0,"",COUNTIF(F7:I7,"&gt;0")+0.5*COUNTIF(F7:I7,0))</f>
        <v>0</v>
      </c>
      <c r="K6" s="12"/>
      <c r="L6" s="80">
        <v>4</v>
      </c>
    </row>
    <row r="7" spans="1:13" ht="21" x14ac:dyDescent="0.25">
      <c r="B7" s="65"/>
      <c r="C7" s="55"/>
      <c r="D7" s="56"/>
      <c r="E7" s="57"/>
      <c r="F7" s="18">
        <f ca="1">IF(LEN(INDIRECT(ADDRESS(ROW()-1, COLUMN())))=1,"",INDIRECT(ADDRESS(21,7))-INDIRECT(ADDRESS(21,6)))</f>
        <v>-13</v>
      </c>
      <c r="G7" s="19" t="s">
        <v>4</v>
      </c>
      <c r="H7" s="12">
        <f ca="1">IF(LEN(INDIRECT(ADDRESS(ROW()-1, COLUMN())))=1,"",INDIRECT(ADDRESS(17,6))-INDIRECT(ADDRESS(17,7)))</f>
        <v>-3</v>
      </c>
      <c r="I7" s="13">
        <f ca="1">IF(LEN(INDIRECT(ADDRESS(ROW()-1, COLUMN())))=1,"",INDIRECT(ADDRESS(24,6))-INDIRECT(ADDRESS(24,7)))</f>
        <v>-2</v>
      </c>
      <c r="J7" s="81"/>
      <c r="K7" s="12">
        <f ca="1">IF(COUNT(F7:I7)=0,"",SUM(F7:I7))</f>
        <v>-18</v>
      </c>
      <c r="L7" s="80"/>
    </row>
    <row r="8" spans="1:13" ht="21" x14ac:dyDescent="0.25">
      <c r="B8" s="53">
        <v>3</v>
      </c>
      <c r="C8" s="55" t="s">
        <v>56</v>
      </c>
      <c r="D8" s="56"/>
      <c r="E8" s="57"/>
      <c r="F8" s="14" t="str">
        <f ca="1">INDIRECT(ADDRESS(25,6))&amp;":"&amp;INDIRECT(ADDRESS(25,7))</f>
        <v>10:11</v>
      </c>
      <c r="G8" s="16" t="str">
        <f ca="1">INDIRECT(ADDRESS(17,7))&amp;":"&amp;INDIRECT(ADDRESS(17,6))</f>
        <v>13:10</v>
      </c>
      <c r="H8" s="15" t="s">
        <v>4</v>
      </c>
      <c r="I8" s="17" t="str">
        <f ca="1">INDIRECT(ADDRESS(20,7))&amp;":"&amp;INDIRECT(ADDRESS(20,6))</f>
        <v>12:8</v>
      </c>
      <c r="J8" s="81">
        <f ca="1">IF(COUNT(F9:I9)=0,"",COUNTIF(F9:I9,"&gt;0")+0.5*COUNTIF(F9:I9,0))</f>
        <v>2</v>
      </c>
      <c r="K8" s="12">
        <v>3</v>
      </c>
      <c r="L8" s="80">
        <v>2</v>
      </c>
    </row>
    <row r="9" spans="1:13" ht="21" x14ac:dyDescent="0.25">
      <c r="B9" s="65"/>
      <c r="C9" s="55"/>
      <c r="D9" s="56"/>
      <c r="E9" s="57"/>
      <c r="F9" s="18">
        <f ca="1">IF(LEN(INDIRECT(ADDRESS(ROW()-1, COLUMN())))=1,"",INDIRECT(ADDRESS(25,6))-INDIRECT(ADDRESS(25,7)))</f>
        <v>-1</v>
      </c>
      <c r="G9" s="12">
        <f ca="1">IF(LEN(INDIRECT(ADDRESS(ROW()-1, COLUMN())))=1,"",INDIRECT(ADDRESS(17,7))-INDIRECT(ADDRESS(17,6)))</f>
        <v>3</v>
      </c>
      <c r="H9" s="19" t="s">
        <v>4</v>
      </c>
      <c r="I9" s="13">
        <f ca="1">IF(LEN(INDIRECT(ADDRESS(ROW()-1, COLUMN())))=1,"",INDIRECT(ADDRESS(20,7))-INDIRECT(ADDRESS(20,6)))</f>
        <v>4</v>
      </c>
      <c r="J9" s="81"/>
      <c r="K9" s="12">
        <f ca="1">IF(COUNT(F9:I9)=0,"",SUM(F9:I9))</f>
        <v>6</v>
      </c>
      <c r="L9" s="80"/>
    </row>
    <row r="10" spans="1:13" ht="21" x14ac:dyDescent="0.25">
      <c r="B10" s="53">
        <v>4</v>
      </c>
      <c r="C10" s="55" t="s">
        <v>59</v>
      </c>
      <c r="D10" s="56"/>
      <c r="E10" s="57"/>
      <c r="F10" s="14" t="str">
        <f ca="1">INDIRECT(ADDRESS(16,7))&amp;":"&amp;INDIRECT(ADDRESS(16,6))</f>
        <v>13:4</v>
      </c>
      <c r="G10" s="16" t="str">
        <f ca="1">INDIRECT(ADDRESS(24,7))&amp;":"&amp;INDIRECT(ADDRESS(24,6))</f>
        <v>13:11</v>
      </c>
      <c r="H10" s="16" t="str">
        <f ca="1">INDIRECT(ADDRESS(20,6))&amp;":"&amp;INDIRECT(ADDRESS(20,7))</f>
        <v>8:12</v>
      </c>
      <c r="I10" s="20" t="s">
        <v>4</v>
      </c>
      <c r="J10" s="81">
        <f ca="1">IF(COUNT(F11:I11)=0,"",COUNTIF(F11:I11,"&gt;0")+0.5*COUNTIF(F11:I11,0))</f>
        <v>2</v>
      </c>
      <c r="K10" s="12">
        <v>5</v>
      </c>
      <c r="L10" s="80">
        <v>1</v>
      </c>
    </row>
    <row r="11" spans="1:13" ht="21.75" thickBot="1" x14ac:dyDescent="0.3">
      <c r="B11" s="54"/>
      <c r="C11" s="58"/>
      <c r="D11" s="59"/>
      <c r="E11" s="60"/>
      <c r="F11" s="21">
        <f ca="1">IF(LEN(INDIRECT(ADDRESS(ROW()-1, COLUMN())))=1,"",INDIRECT(ADDRESS(16,7))-INDIRECT(ADDRESS(16,6)))</f>
        <v>9</v>
      </c>
      <c r="G11" s="22">
        <f ca="1">IF(LEN(INDIRECT(ADDRESS(ROW()-1, COLUMN())))=1,"",INDIRECT(ADDRESS(24,7))-INDIRECT(ADDRESS(24,6)))</f>
        <v>2</v>
      </c>
      <c r="H11" s="22">
        <f ca="1">IF(LEN(INDIRECT(ADDRESS(ROW()-1, COLUMN())))=1,"",INDIRECT(ADDRESS(20,6))-INDIRECT(ADDRESS(20,7)))</f>
        <v>-4</v>
      </c>
      <c r="I11" s="23" t="s">
        <v>4</v>
      </c>
      <c r="J11" s="82"/>
      <c r="K11" s="22">
        <f ca="1">IF(COUNT(F11:I11)=0,"",SUM(F11:I11))</f>
        <v>7</v>
      </c>
      <c r="L11" s="83"/>
    </row>
    <row r="15" spans="1:13" s="25" customFormat="1" ht="21.75" thickBot="1" x14ac:dyDescent="0.4">
      <c r="A15" s="24"/>
      <c r="B15" s="52" t="s">
        <v>5</v>
      </c>
      <c r="C15" s="52"/>
      <c r="D15" s="52"/>
      <c r="E15" s="52"/>
      <c r="F15" s="52"/>
      <c r="G15" s="52"/>
      <c r="H15" s="52"/>
      <c r="I15" s="52"/>
      <c r="J15" s="52"/>
      <c r="K15" s="52"/>
      <c r="M15" s="36"/>
    </row>
    <row r="16" spans="1:13" s="25" customFormat="1" ht="21.75" thickBot="1" x14ac:dyDescent="0.4">
      <c r="A16" s="24"/>
      <c r="B16" s="26">
        <v>1</v>
      </c>
      <c r="C16" s="49" t="str">
        <f ca="1">IF(ISBLANK(INDIRECT(ADDRESS(B16*2+2,3))),"",INDIRECT(ADDRESS(B16*2+2,3)))</f>
        <v>Коргунова, Энжольрас</v>
      </c>
      <c r="D16" s="49"/>
      <c r="E16" s="50"/>
      <c r="F16" s="27">
        <v>4</v>
      </c>
      <c r="G16" s="28">
        <v>13</v>
      </c>
      <c r="H16" s="51" t="str">
        <f ca="1">IF(ISBLANK(INDIRECT(ADDRESS(K16*2+2,3))),"",INDIRECT(ADDRESS(K16*2+2,3)))</f>
        <v>Крошиловы</v>
      </c>
      <c r="I16" s="49"/>
      <c r="J16" s="49"/>
      <c r="K16" s="26">
        <v>4</v>
      </c>
      <c r="L16" s="29" t="s">
        <v>6</v>
      </c>
      <c r="M16" s="31">
        <v>1</v>
      </c>
    </row>
    <row r="17" spans="1:13" s="25" customFormat="1" ht="21.75" thickBot="1" x14ac:dyDescent="0.4">
      <c r="A17" s="24"/>
      <c r="B17" s="26">
        <v>2</v>
      </c>
      <c r="C17" s="49" t="str">
        <f ca="1">IF(ISBLANK(INDIRECT(ADDRESS(B17*2+2,3))),"",INDIRECT(ADDRESS(B17*2+2,3)))</f>
        <v>Крылова, Поляков</v>
      </c>
      <c r="D17" s="49"/>
      <c r="E17" s="50"/>
      <c r="F17" s="27">
        <v>10</v>
      </c>
      <c r="G17" s="28">
        <v>13</v>
      </c>
      <c r="H17" s="51" t="str">
        <f ca="1">IF(ISBLANK(INDIRECT(ADDRESS(K17*2+2,3))),"",INDIRECT(ADDRESS(K17*2+2,3)))</f>
        <v>Соколова, Каргашин</v>
      </c>
      <c r="I17" s="49"/>
      <c r="J17" s="49"/>
      <c r="K17" s="26">
        <v>3</v>
      </c>
      <c r="L17" s="29" t="s">
        <v>6</v>
      </c>
      <c r="M17" s="31">
        <v>2</v>
      </c>
    </row>
    <row r="18" spans="1:13" s="25" customFormat="1" ht="21" x14ac:dyDescent="0.35">
      <c r="A18" s="24"/>
      <c r="M18" s="31"/>
    </row>
    <row r="19" spans="1:13" s="25" customFormat="1" ht="21.75" thickBot="1" x14ac:dyDescent="0.4">
      <c r="A19" s="24"/>
      <c r="B19" s="52" t="s">
        <v>7</v>
      </c>
      <c r="C19" s="52"/>
      <c r="D19" s="52"/>
      <c r="E19" s="52"/>
      <c r="F19" s="52"/>
      <c r="G19" s="52"/>
      <c r="H19" s="52"/>
      <c r="I19" s="52"/>
      <c r="J19" s="52"/>
      <c r="K19" s="52"/>
      <c r="M19" s="31"/>
    </row>
    <row r="20" spans="1:13" s="25" customFormat="1" ht="21.75" thickBot="1" x14ac:dyDescent="0.4">
      <c r="A20" s="24"/>
      <c r="B20" s="26">
        <v>4</v>
      </c>
      <c r="C20" s="49" t="str">
        <f ca="1">IF(ISBLANK(INDIRECT(ADDRESS(B20*2+2,3))),"",INDIRECT(ADDRESS(B20*2+2,3)))</f>
        <v>Крошиловы</v>
      </c>
      <c r="D20" s="49"/>
      <c r="E20" s="50"/>
      <c r="F20" s="27">
        <v>8</v>
      </c>
      <c r="G20" s="28">
        <v>12</v>
      </c>
      <c r="H20" s="51" t="str">
        <f ca="1">IF(ISBLANK(INDIRECT(ADDRESS(K20*2+2,3))),"",INDIRECT(ADDRESS(K20*2+2,3)))</f>
        <v>Соколова, Каргашин</v>
      </c>
      <c r="I20" s="49"/>
      <c r="J20" s="49"/>
      <c r="K20" s="26">
        <v>3</v>
      </c>
      <c r="L20" s="29" t="s">
        <v>6</v>
      </c>
      <c r="M20" s="31">
        <v>3</v>
      </c>
    </row>
    <row r="21" spans="1:13" s="25" customFormat="1" ht="21.75" thickBot="1" x14ac:dyDescent="0.4">
      <c r="A21" s="24"/>
      <c r="B21" s="26">
        <v>1</v>
      </c>
      <c r="C21" s="49" t="str">
        <f ca="1">IF(ISBLANK(INDIRECT(ADDRESS(B21*2+2,3))),"",INDIRECT(ADDRESS(B21*2+2,3)))</f>
        <v>Коргунова, Энжольрас</v>
      </c>
      <c r="D21" s="49"/>
      <c r="E21" s="50"/>
      <c r="F21" s="27">
        <v>13</v>
      </c>
      <c r="G21" s="28">
        <v>0</v>
      </c>
      <c r="H21" s="51" t="str">
        <f ca="1">IF(ISBLANK(INDIRECT(ADDRESS(K21*2+2,3))),"",INDIRECT(ADDRESS(K21*2+2,3)))</f>
        <v>Крылова, Поляков</v>
      </c>
      <c r="I21" s="49"/>
      <c r="J21" s="49"/>
      <c r="K21" s="26">
        <v>2</v>
      </c>
      <c r="L21" s="29" t="s">
        <v>6</v>
      </c>
      <c r="M21" s="31">
        <v>4</v>
      </c>
    </row>
    <row r="22" spans="1:13" s="25" customFormat="1" ht="21" x14ac:dyDescent="0.35">
      <c r="A22" s="24"/>
      <c r="M22" s="31"/>
    </row>
    <row r="23" spans="1:13" s="25" customFormat="1" ht="21.75" thickBot="1" x14ac:dyDescent="0.4">
      <c r="A23" s="24"/>
      <c r="B23" s="52" t="s">
        <v>8</v>
      </c>
      <c r="C23" s="52"/>
      <c r="D23" s="52"/>
      <c r="E23" s="52"/>
      <c r="F23" s="52"/>
      <c r="G23" s="52"/>
      <c r="H23" s="52"/>
      <c r="I23" s="52"/>
      <c r="J23" s="52"/>
      <c r="K23" s="52"/>
      <c r="M23" s="31"/>
    </row>
    <row r="24" spans="1:13" s="25" customFormat="1" ht="21.75" thickBot="1" x14ac:dyDescent="0.4">
      <c r="A24" s="24"/>
      <c r="B24" s="26">
        <v>2</v>
      </c>
      <c r="C24" s="49" t="str">
        <f ca="1">IF(ISBLANK(INDIRECT(ADDRESS(B24*2+2,3))),"",INDIRECT(ADDRESS(B24*2+2,3)))</f>
        <v>Крылова, Поляков</v>
      </c>
      <c r="D24" s="49"/>
      <c r="E24" s="50"/>
      <c r="F24" s="27">
        <v>11</v>
      </c>
      <c r="G24" s="28">
        <v>13</v>
      </c>
      <c r="H24" s="51" t="str">
        <f ca="1">IF(ISBLANK(INDIRECT(ADDRESS(K24*2+2,3))),"",INDIRECT(ADDRESS(K24*2+2,3)))</f>
        <v>Крошиловы</v>
      </c>
      <c r="I24" s="49"/>
      <c r="J24" s="49"/>
      <c r="K24" s="26">
        <v>4</v>
      </c>
      <c r="L24" s="29" t="s">
        <v>6</v>
      </c>
      <c r="M24" s="31">
        <v>5</v>
      </c>
    </row>
    <row r="25" spans="1:13" s="25" customFormat="1" ht="21.75" thickBot="1" x14ac:dyDescent="0.4">
      <c r="A25" s="24"/>
      <c r="B25" s="26">
        <v>3</v>
      </c>
      <c r="C25" s="49" t="str">
        <f ca="1">IF(ISBLANK(INDIRECT(ADDRESS(B25*2+2,3))),"",INDIRECT(ADDRESS(B25*2+2,3)))</f>
        <v>Соколова, Каргашин</v>
      </c>
      <c r="D25" s="49"/>
      <c r="E25" s="50"/>
      <c r="F25" s="27">
        <v>10</v>
      </c>
      <c r="G25" s="28">
        <v>11</v>
      </c>
      <c r="H25" s="51" t="str">
        <f ca="1">IF(ISBLANK(INDIRECT(ADDRESS(K25*2+2,3))),"",INDIRECT(ADDRESS(K25*2+2,3)))</f>
        <v>Коргунова, Энжольрас</v>
      </c>
      <c r="I25" s="49"/>
      <c r="J25" s="49"/>
      <c r="K25" s="26">
        <v>1</v>
      </c>
      <c r="L25" s="29" t="s">
        <v>6</v>
      </c>
      <c r="M25" s="31">
        <v>6</v>
      </c>
    </row>
  </sheetData>
  <mergeCells count="33">
    <mergeCell ref="L4:L5"/>
    <mergeCell ref="B1:K1"/>
    <mergeCell ref="C3:E3"/>
    <mergeCell ref="B4:B5"/>
    <mergeCell ref="C4:E5"/>
    <mergeCell ref="J4:J5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B23:K23"/>
    <mergeCell ref="C24:E24"/>
    <mergeCell ref="H24:J24"/>
    <mergeCell ref="C25:E25"/>
    <mergeCell ref="H25:J25"/>
  </mergeCells>
  <pageMargins left="0.7" right="0.7" top="0.75" bottom="0.75" header="0.3" footer="0.3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N11" sqref="N11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1:13" ht="31.5" x14ac:dyDescent="0.25">
      <c r="B1" s="71" t="s">
        <v>17</v>
      </c>
      <c r="C1" s="71"/>
      <c r="D1" s="71"/>
      <c r="E1" s="71"/>
      <c r="F1" s="71"/>
      <c r="G1" s="71"/>
      <c r="H1" s="71"/>
      <c r="I1" s="71"/>
      <c r="J1" s="71"/>
      <c r="K1" s="71"/>
    </row>
    <row r="2" spans="1:13" ht="15.75" thickBot="1" x14ac:dyDescent="0.3"/>
    <row r="3" spans="1:13" ht="15.75" thickBot="1" x14ac:dyDescent="0.3">
      <c r="B3" s="2"/>
      <c r="C3" s="72" t="s">
        <v>0</v>
      </c>
      <c r="D3" s="73"/>
      <c r="E3" s="74"/>
      <c r="F3" s="3">
        <v>1</v>
      </c>
      <c r="G3" s="3">
        <v>2</v>
      </c>
      <c r="H3" s="4">
        <v>3</v>
      </c>
      <c r="I3" s="4">
        <v>4</v>
      </c>
      <c r="J3" s="2" t="s">
        <v>1</v>
      </c>
      <c r="K3" s="3" t="s">
        <v>2</v>
      </c>
      <c r="L3" s="33" t="s">
        <v>3</v>
      </c>
    </row>
    <row r="4" spans="1:13" ht="21" x14ac:dyDescent="0.25">
      <c r="B4" s="75">
        <v>1</v>
      </c>
      <c r="C4" s="86" t="s">
        <v>35</v>
      </c>
      <c r="D4" s="87"/>
      <c r="E4" s="88"/>
      <c r="F4" s="7" t="s">
        <v>4</v>
      </c>
      <c r="G4" s="8" t="str">
        <f ca="1">INDIRECT(ADDRESS(21,6))&amp;":"&amp;INDIRECT(ADDRESS(21,7))</f>
        <v>13:6</v>
      </c>
      <c r="H4" s="8" t="str">
        <f ca="1">INDIRECT(ADDRESS(25,7))&amp;":"&amp;INDIRECT(ADDRESS(25,6))</f>
        <v>8:13</v>
      </c>
      <c r="I4" s="9" t="str">
        <f ca="1">INDIRECT(ADDRESS(16,6))&amp;":"&amp;INDIRECT(ADDRESS(16,7))</f>
        <v>13:2</v>
      </c>
      <c r="J4" s="85">
        <f ca="1">IF(COUNT(F5:I5)=0,"",COUNTIF(F5:I5,"&gt;0")+0.5*COUNTIF(F5:I5,0))</f>
        <v>2</v>
      </c>
      <c r="K4" s="10"/>
      <c r="L4" s="84">
        <v>2</v>
      </c>
    </row>
    <row r="5" spans="1:13" ht="21" x14ac:dyDescent="0.25">
      <c r="B5" s="65"/>
      <c r="C5" s="55"/>
      <c r="D5" s="56"/>
      <c r="E5" s="57"/>
      <c r="F5" s="11" t="s">
        <v>4</v>
      </c>
      <c r="G5" s="12">
        <f ca="1">IF(LEN(INDIRECT(ADDRESS(ROW()-1, COLUMN())))=1,"",INDIRECT(ADDRESS(21,6))-INDIRECT(ADDRESS(21,7)))</f>
        <v>7</v>
      </c>
      <c r="H5" s="12">
        <f ca="1">IF(LEN(INDIRECT(ADDRESS(ROW()-1, COLUMN())))=1,"",INDIRECT(ADDRESS(25,7))-INDIRECT(ADDRESS(25,6)))</f>
        <v>-5</v>
      </c>
      <c r="I5" s="13">
        <f ca="1">IF(LEN(INDIRECT(ADDRESS(ROW()-1, COLUMN())))=1,"",INDIRECT(ADDRESS(16,6))-INDIRECT(ADDRESS(16,7)))</f>
        <v>11</v>
      </c>
      <c r="J5" s="81"/>
      <c r="K5" s="12">
        <f ca="1">IF(COUNT(F5:I5)=0,"",SUM(F5:I5))</f>
        <v>13</v>
      </c>
      <c r="L5" s="80"/>
    </row>
    <row r="6" spans="1:13" ht="21" x14ac:dyDescent="0.25">
      <c r="B6" s="53">
        <v>2</v>
      </c>
      <c r="C6" s="55" t="s">
        <v>40</v>
      </c>
      <c r="D6" s="56"/>
      <c r="E6" s="57"/>
      <c r="F6" s="14" t="str">
        <f ca="1">INDIRECT(ADDRESS(21,7))&amp;":"&amp;INDIRECT(ADDRESS(21,6))</f>
        <v>6:13</v>
      </c>
      <c r="G6" s="15" t="s">
        <v>4</v>
      </c>
      <c r="H6" s="16" t="str">
        <f ca="1">INDIRECT(ADDRESS(17,6))&amp;":"&amp;INDIRECT(ADDRESS(17,7))</f>
        <v>3:12</v>
      </c>
      <c r="I6" s="17" t="str">
        <f ca="1">INDIRECT(ADDRESS(24,6))&amp;":"&amp;INDIRECT(ADDRESS(24,7))</f>
        <v>10:8</v>
      </c>
      <c r="J6" s="81">
        <f ca="1">IF(COUNT(F7:I7)=0,"",COUNTIF(F7:I7,"&gt;0")+0.5*COUNTIF(F7:I7,0))</f>
        <v>1</v>
      </c>
      <c r="K6" s="12"/>
      <c r="L6" s="80">
        <v>3</v>
      </c>
    </row>
    <row r="7" spans="1:13" ht="21" x14ac:dyDescent="0.25">
      <c r="B7" s="65"/>
      <c r="C7" s="55"/>
      <c r="D7" s="56"/>
      <c r="E7" s="57"/>
      <c r="F7" s="18">
        <f ca="1">IF(LEN(INDIRECT(ADDRESS(ROW()-1, COLUMN())))=1,"",INDIRECT(ADDRESS(21,7))-INDIRECT(ADDRESS(21,6)))</f>
        <v>-7</v>
      </c>
      <c r="G7" s="19" t="s">
        <v>4</v>
      </c>
      <c r="H7" s="12">
        <f ca="1">IF(LEN(INDIRECT(ADDRESS(ROW()-1, COLUMN())))=1,"",INDIRECT(ADDRESS(17,6))-INDIRECT(ADDRESS(17,7)))</f>
        <v>-9</v>
      </c>
      <c r="I7" s="13">
        <f ca="1">IF(LEN(INDIRECT(ADDRESS(ROW()-1, COLUMN())))=1,"",INDIRECT(ADDRESS(24,6))-INDIRECT(ADDRESS(24,7)))</f>
        <v>2</v>
      </c>
      <c r="J7" s="81"/>
      <c r="K7" s="12">
        <f ca="1">IF(COUNT(F7:I7)=0,"",SUM(F7:I7))</f>
        <v>-14</v>
      </c>
      <c r="L7" s="80"/>
    </row>
    <row r="8" spans="1:13" ht="21" x14ac:dyDescent="0.25">
      <c r="B8" s="53">
        <v>3</v>
      </c>
      <c r="C8" s="55" t="s">
        <v>65</v>
      </c>
      <c r="D8" s="56"/>
      <c r="E8" s="57"/>
      <c r="F8" s="14" t="str">
        <f ca="1">INDIRECT(ADDRESS(25,6))&amp;":"&amp;INDIRECT(ADDRESS(25,7))</f>
        <v>13:8</v>
      </c>
      <c r="G8" s="16" t="str">
        <f ca="1">INDIRECT(ADDRESS(17,7))&amp;":"&amp;INDIRECT(ADDRESS(17,6))</f>
        <v>12:3</v>
      </c>
      <c r="H8" s="15" t="s">
        <v>4</v>
      </c>
      <c r="I8" s="17" t="str">
        <f ca="1">INDIRECT(ADDRESS(20,7))&amp;":"&amp;INDIRECT(ADDRESS(20,6))</f>
        <v>12:5</v>
      </c>
      <c r="J8" s="81">
        <f ca="1">IF(COUNT(F9:I9)=0,"",COUNTIF(F9:I9,"&gt;0")+0.5*COUNTIF(F9:I9,0))</f>
        <v>3</v>
      </c>
      <c r="K8" s="12"/>
      <c r="L8" s="80">
        <v>1</v>
      </c>
    </row>
    <row r="9" spans="1:13" ht="21" x14ac:dyDescent="0.25">
      <c r="B9" s="65"/>
      <c r="C9" s="55"/>
      <c r="D9" s="56"/>
      <c r="E9" s="57"/>
      <c r="F9" s="18">
        <f ca="1">IF(LEN(INDIRECT(ADDRESS(ROW()-1, COLUMN())))=1,"",INDIRECT(ADDRESS(25,6))-INDIRECT(ADDRESS(25,7)))</f>
        <v>5</v>
      </c>
      <c r="G9" s="12">
        <f ca="1">IF(LEN(INDIRECT(ADDRESS(ROW()-1, COLUMN())))=1,"",INDIRECT(ADDRESS(17,7))-INDIRECT(ADDRESS(17,6)))</f>
        <v>9</v>
      </c>
      <c r="H9" s="19" t="s">
        <v>4</v>
      </c>
      <c r="I9" s="13">
        <f ca="1">IF(LEN(INDIRECT(ADDRESS(ROW()-1, COLUMN())))=1,"",INDIRECT(ADDRESS(20,7))-INDIRECT(ADDRESS(20,6)))</f>
        <v>7</v>
      </c>
      <c r="J9" s="81"/>
      <c r="K9" s="12">
        <f ca="1">IF(COUNT(F9:I9)=0,"",SUM(F9:I9))</f>
        <v>21</v>
      </c>
      <c r="L9" s="80"/>
    </row>
    <row r="10" spans="1:13" ht="21" x14ac:dyDescent="0.25">
      <c r="B10" s="53">
        <v>4</v>
      </c>
      <c r="C10" s="55" t="s">
        <v>55</v>
      </c>
      <c r="D10" s="56"/>
      <c r="E10" s="57"/>
      <c r="F10" s="14" t="str">
        <f ca="1">INDIRECT(ADDRESS(16,7))&amp;":"&amp;INDIRECT(ADDRESS(16,6))</f>
        <v>2:13</v>
      </c>
      <c r="G10" s="16" t="str">
        <f ca="1">INDIRECT(ADDRESS(24,7))&amp;":"&amp;INDIRECT(ADDRESS(24,6))</f>
        <v>8:10</v>
      </c>
      <c r="H10" s="16" t="str">
        <f ca="1">INDIRECT(ADDRESS(20,6))&amp;":"&amp;INDIRECT(ADDRESS(20,7))</f>
        <v>5:12</v>
      </c>
      <c r="I10" s="20" t="s">
        <v>4</v>
      </c>
      <c r="J10" s="81">
        <f ca="1">IF(COUNT(F11:I11)=0,"",COUNTIF(F11:I11,"&gt;0")+0.5*COUNTIF(F11:I11,0))</f>
        <v>0</v>
      </c>
      <c r="K10" s="12"/>
      <c r="L10" s="80">
        <v>4</v>
      </c>
    </row>
    <row r="11" spans="1:13" ht="21.75" thickBot="1" x14ac:dyDescent="0.3">
      <c r="B11" s="54"/>
      <c r="C11" s="58"/>
      <c r="D11" s="59"/>
      <c r="E11" s="60"/>
      <c r="F11" s="21">
        <f ca="1">IF(LEN(INDIRECT(ADDRESS(ROW()-1, COLUMN())))=1,"",INDIRECT(ADDRESS(16,7))-INDIRECT(ADDRESS(16,6)))</f>
        <v>-11</v>
      </c>
      <c r="G11" s="22">
        <f ca="1">IF(LEN(INDIRECT(ADDRESS(ROW()-1, COLUMN())))=1,"",INDIRECT(ADDRESS(24,7))-INDIRECT(ADDRESS(24,6)))</f>
        <v>-2</v>
      </c>
      <c r="H11" s="22">
        <f ca="1">IF(LEN(INDIRECT(ADDRESS(ROW()-1, COLUMN())))=1,"",INDIRECT(ADDRESS(20,6))-INDIRECT(ADDRESS(20,7)))</f>
        <v>-7</v>
      </c>
      <c r="I11" s="23" t="s">
        <v>4</v>
      </c>
      <c r="J11" s="82"/>
      <c r="K11" s="22">
        <f ca="1">IF(COUNT(F11:I11)=0,"",SUM(F11:I11))</f>
        <v>-20</v>
      </c>
      <c r="L11" s="83"/>
    </row>
    <row r="15" spans="1:13" s="25" customFormat="1" ht="21.75" thickBot="1" x14ac:dyDescent="0.4">
      <c r="A15" s="24"/>
      <c r="B15" s="52" t="s">
        <v>5</v>
      </c>
      <c r="C15" s="52"/>
      <c r="D15" s="52"/>
      <c r="E15" s="52"/>
      <c r="F15" s="52"/>
      <c r="G15" s="52"/>
      <c r="H15" s="52"/>
      <c r="I15" s="52"/>
      <c r="J15" s="52"/>
      <c r="K15" s="52"/>
      <c r="M15" s="36"/>
    </row>
    <row r="16" spans="1:13" s="25" customFormat="1" ht="21.75" thickBot="1" x14ac:dyDescent="0.4">
      <c r="A16" s="24"/>
      <c r="B16" s="26">
        <v>1</v>
      </c>
      <c r="C16" s="49" t="str">
        <f ca="1">IF(ISBLANK(INDIRECT(ADDRESS(B16*2+2,3))),"",INDIRECT(ADDRESS(B16*2+2,3)))</f>
        <v>Петрушко</v>
      </c>
      <c r="D16" s="49"/>
      <c r="E16" s="50"/>
      <c r="F16" s="27">
        <v>13</v>
      </c>
      <c r="G16" s="28">
        <v>2</v>
      </c>
      <c r="H16" s="51" t="str">
        <f ca="1">IF(ISBLANK(INDIRECT(ADDRESS(K16*2+2,3))),"",INDIRECT(ADDRESS(K16*2+2,3)))</f>
        <v>Тюрина, Кравцов</v>
      </c>
      <c r="I16" s="49"/>
      <c r="J16" s="49"/>
      <c r="K16" s="26">
        <v>4</v>
      </c>
      <c r="L16" s="29" t="s">
        <v>6</v>
      </c>
      <c r="M16" s="31">
        <v>3</v>
      </c>
    </row>
    <row r="17" spans="1:13" s="25" customFormat="1" ht="21.75" thickBot="1" x14ac:dyDescent="0.4">
      <c r="A17" s="24"/>
      <c r="B17" s="26">
        <v>2</v>
      </c>
      <c r="C17" s="49" t="str">
        <f ca="1">IF(ISBLANK(INDIRECT(ADDRESS(B17*2+2,3))),"",INDIRECT(ADDRESS(B17*2+2,3)))</f>
        <v>Дубовицкие</v>
      </c>
      <c r="D17" s="49"/>
      <c r="E17" s="50"/>
      <c r="F17" s="27">
        <v>3</v>
      </c>
      <c r="G17" s="28">
        <v>12</v>
      </c>
      <c r="H17" s="51" t="str">
        <f ca="1">IF(ISBLANK(INDIRECT(ADDRESS(K17*2+2,3))),"",INDIRECT(ADDRESS(K17*2+2,3)))</f>
        <v>Базарев, Павлова</v>
      </c>
      <c r="I17" s="49"/>
      <c r="J17" s="49"/>
      <c r="K17" s="26">
        <v>3</v>
      </c>
      <c r="L17" s="29" t="s">
        <v>6</v>
      </c>
      <c r="M17" s="31">
        <v>4</v>
      </c>
    </row>
    <row r="18" spans="1:13" s="25" customFormat="1" ht="21" x14ac:dyDescent="0.35">
      <c r="A18" s="24"/>
      <c r="M18" s="31"/>
    </row>
    <row r="19" spans="1:13" s="25" customFormat="1" ht="21.75" thickBot="1" x14ac:dyDescent="0.4">
      <c r="A19" s="24"/>
      <c r="B19" s="52" t="s">
        <v>7</v>
      </c>
      <c r="C19" s="52"/>
      <c r="D19" s="52"/>
      <c r="E19" s="52"/>
      <c r="F19" s="52"/>
      <c r="G19" s="52"/>
      <c r="H19" s="52"/>
      <c r="I19" s="52"/>
      <c r="J19" s="52"/>
      <c r="K19" s="52"/>
      <c r="M19" s="31"/>
    </row>
    <row r="20" spans="1:13" s="25" customFormat="1" ht="21.75" thickBot="1" x14ac:dyDescent="0.4">
      <c r="A20" s="24"/>
      <c r="B20" s="26">
        <v>4</v>
      </c>
      <c r="C20" s="49" t="str">
        <f ca="1">IF(ISBLANK(INDIRECT(ADDRESS(B20*2+2,3))),"",INDIRECT(ADDRESS(B20*2+2,3)))</f>
        <v>Тюрина, Кравцов</v>
      </c>
      <c r="D20" s="49"/>
      <c r="E20" s="50"/>
      <c r="F20" s="27">
        <v>5</v>
      </c>
      <c r="G20" s="28">
        <v>12</v>
      </c>
      <c r="H20" s="51" t="str">
        <f ca="1">IF(ISBLANK(INDIRECT(ADDRESS(K20*2+2,3))),"",INDIRECT(ADDRESS(K20*2+2,3)))</f>
        <v>Базарев, Павлова</v>
      </c>
      <c r="I20" s="49"/>
      <c r="J20" s="49"/>
      <c r="K20" s="26">
        <v>3</v>
      </c>
      <c r="L20" s="29" t="s">
        <v>6</v>
      </c>
      <c r="M20" s="31">
        <v>5</v>
      </c>
    </row>
    <row r="21" spans="1:13" s="25" customFormat="1" ht="21.75" thickBot="1" x14ac:dyDescent="0.4">
      <c r="A21" s="24"/>
      <c r="B21" s="26">
        <v>1</v>
      </c>
      <c r="C21" s="49" t="str">
        <f ca="1">IF(ISBLANK(INDIRECT(ADDRESS(B21*2+2,3))),"",INDIRECT(ADDRESS(B21*2+2,3)))</f>
        <v>Петрушко</v>
      </c>
      <c r="D21" s="49"/>
      <c r="E21" s="50"/>
      <c r="F21" s="27">
        <v>13</v>
      </c>
      <c r="G21" s="28">
        <v>6</v>
      </c>
      <c r="H21" s="51" t="str">
        <f ca="1">IF(ISBLANK(INDIRECT(ADDRESS(K21*2+2,3))),"",INDIRECT(ADDRESS(K21*2+2,3)))</f>
        <v>Дубовицкие</v>
      </c>
      <c r="I21" s="49"/>
      <c r="J21" s="49"/>
      <c r="K21" s="26">
        <v>2</v>
      </c>
      <c r="L21" s="29" t="s">
        <v>6</v>
      </c>
      <c r="M21" s="31">
        <v>6</v>
      </c>
    </row>
    <row r="22" spans="1:13" s="25" customFormat="1" ht="21" x14ac:dyDescent="0.35">
      <c r="A22" s="24"/>
      <c r="M22" s="31"/>
    </row>
    <row r="23" spans="1:13" s="25" customFormat="1" ht="21.75" thickBot="1" x14ac:dyDescent="0.4">
      <c r="A23" s="24"/>
      <c r="B23" s="52" t="s">
        <v>8</v>
      </c>
      <c r="C23" s="52"/>
      <c r="D23" s="52"/>
      <c r="E23" s="52"/>
      <c r="F23" s="52"/>
      <c r="G23" s="52"/>
      <c r="H23" s="52"/>
      <c r="I23" s="52"/>
      <c r="J23" s="52"/>
      <c r="K23" s="52"/>
      <c r="M23" s="31"/>
    </row>
    <row r="24" spans="1:13" s="25" customFormat="1" ht="21.75" thickBot="1" x14ac:dyDescent="0.4">
      <c r="A24" s="24"/>
      <c r="B24" s="26">
        <v>2</v>
      </c>
      <c r="C24" s="49" t="str">
        <f ca="1">IF(ISBLANK(INDIRECT(ADDRESS(B24*2+2,3))),"",INDIRECT(ADDRESS(B24*2+2,3)))</f>
        <v>Дубовицкие</v>
      </c>
      <c r="D24" s="49"/>
      <c r="E24" s="50"/>
      <c r="F24" s="27">
        <v>10</v>
      </c>
      <c r="G24" s="28">
        <v>8</v>
      </c>
      <c r="H24" s="51" t="str">
        <f ca="1">IF(ISBLANK(INDIRECT(ADDRESS(K24*2+2,3))),"",INDIRECT(ADDRESS(K24*2+2,3)))</f>
        <v>Тюрина, Кравцов</v>
      </c>
      <c r="I24" s="49"/>
      <c r="J24" s="49"/>
      <c r="K24" s="26">
        <v>4</v>
      </c>
      <c r="L24" s="29" t="s">
        <v>6</v>
      </c>
      <c r="M24" s="31">
        <v>7</v>
      </c>
    </row>
    <row r="25" spans="1:13" s="25" customFormat="1" ht="21.75" thickBot="1" x14ac:dyDescent="0.4">
      <c r="A25" s="24"/>
      <c r="B25" s="26">
        <v>3</v>
      </c>
      <c r="C25" s="49" t="str">
        <f ca="1">IF(ISBLANK(INDIRECT(ADDRESS(B25*2+2,3))),"",INDIRECT(ADDRESS(B25*2+2,3)))</f>
        <v>Базарев, Павлова</v>
      </c>
      <c r="D25" s="49"/>
      <c r="E25" s="50"/>
      <c r="F25" s="27">
        <v>13</v>
      </c>
      <c r="G25" s="28">
        <v>8</v>
      </c>
      <c r="H25" s="51" t="str">
        <f ca="1">IF(ISBLANK(INDIRECT(ADDRESS(K25*2+2,3))),"",INDIRECT(ADDRESS(K25*2+2,3)))</f>
        <v>Петрушко</v>
      </c>
      <c r="I25" s="49"/>
      <c r="J25" s="49"/>
      <c r="K25" s="26">
        <v>1</v>
      </c>
      <c r="L25" s="29" t="s">
        <v>6</v>
      </c>
      <c r="M25" s="31">
        <v>8</v>
      </c>
    </row>
  </sheetData>
  <mergeCells count="33">
    <mergeCell ref="L4:L5"/>
    <mergeCell ref="B1:K1"/>
    <mergeCell ref="C3:E3"/>
    <mergeCell ref="B4:B5"/>
    <mergeCell ref="C4:E5"/>
    <mergeCell ref="J4:J5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B23:K23"/>
    <mergeCell ref="C24:E24"/>
    <mergeCell ref="H24:J24"/>
    <mergeCell ref="C25:E25"/>
    <mergeCell ref="H25:J25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Регистрация</vt:lpstr>
      <vt:lpstr>A</vt:lpstr>
      <vt:lpstr>B</vt:lpstr>
      <vt:lpstr>C</vt:lpstr>
      <vt:lpstr>D</vt:lpstr>
      <vt:lpstr>E</vt:lpstr>
      <vt:lpstr>F</vt:lpstr>
      <vt:lpstr>AF</vt:lpstr>
      <vt:lpstr>BF</vt:lpstr>
      <vt:lpstr>CF</vt:lpstr>
      <vt:lpstr>DF</vt:lpstr>
      <vt:lpstr>Кубок А</vt:lpstr>
      <vt:lpstr>Кубок В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 Дмитрий</dc:creator>
  <cp:lastModifiedBy>HP</cp:lastModifiedBy>
  <cp:lastPrinted>2024-03-10T12:06:21Z</cp:lastPrinted>
  <dcterms:created xsi:type="dcterms:W3CDTF">2024-03-07T08:38:20Z</dcterms:created>
  <dcterms:modified xsi:type="dcterms:W3CDTF">2024-03-10T19:30:34Z</dcterms:modified>
</cp:coreProperties>
</file>